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8"/>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<sst xmlns="http://schemas.openxmlformats.org/spreadsheetml/2006/main" count="3663" uniqueCount="2967">
  <si>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</si>
  <si>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</si>
  <si>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</si>
  <si>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</si>
  <si>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</si>
  <si>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</si>
  <si>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</si>
  <si>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</si>
  <si>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</si>
  <si>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</si>
  <si>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</si>
  <si>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</si>
  <si>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</si>
  <si>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</si>
  <si>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</si>
  <si>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</si>
  <si>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</si>
  <si>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</si>
  <si>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</si>
  <si>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</si>
  <si>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</si>
  <si>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</si>
  <si>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</si>
  <si>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</si>
  <si>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</si>
  <si>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</si>
  <si>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</si>
  <si>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</si>
  <si>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</si>
  <si>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</si>
  <si>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</si>
  <si>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</si>
  <si>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</si>
  <si>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</si>
  <si>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</si>
  <si>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</si>
  <si>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</si>
  <si>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</si>
  <si>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</si>
  <si>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</si>
  <si>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</si>
  <si>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</si>
  <si>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</si>
  <si>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</si>
  <si>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</si>
  <si>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</si>
  <si>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</si>
  <si>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</si>
  <si>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</si>
  <si>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</si>
  <si>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</si>
  <si>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</si>
  <si>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</si>
  <si>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</si>
  <si>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</si>
  <si>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</si>
  <si>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</si>
  <si>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</si>
  <si>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</si>
  <si>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</si>
  <si>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</si>
  <si>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</si>
  <si>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</si>
  <si>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</si>
  <si>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</si>
  <si>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</si>
  <si>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</si>
  <si>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</si>
  <si>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</si>
  <si>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</si>
  <si>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</si>
  <si>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</si>
  <si>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</si>
  <si>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</si>
  <si>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</si>
  <si>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</si>
  <si>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</si>
  <si>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</si>
  <si>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</si>
  <si>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</si>
  <si>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</si>
  <si>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</si>
  <si>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</si>
  <si>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</si>
  <si>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</si>
  <si>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</si>
  <si>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</si>
  <si>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</si>
  <si>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</si>
  <si>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</si>
  <si>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</si>
  <si>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</si>
  <si>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</si>
  <si>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</si>
  <si>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</si>
  <si>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</si>
  <si>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</si>
  <si>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</si>
  <si>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</si>
  <si>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</si>
  <si>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</si>
  <si>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</si>
  <si>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</si>
  <si>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</si>
  <si>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</si>
  <si>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</si>
  <si>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</si>
  <si>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</si>
  <si>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</si>
  <si>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</si>
  <si>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</si>
  <si>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</si>
  <si>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</si>
  <si>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</si>
  <si>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</si>
  <si>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</si>
  <si>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</si>
  <si>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</si>
  <si>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</si>
  <si>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</si>
  <si>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</si>
  <si>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</si>
  <si>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</si>
  <si>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</si>
  <si>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</si>
  <si>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</si>
  <si>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</si>
  <si>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</si>
  <si>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</si>
  <si>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</si>
  <si>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</si>
  <si>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</si>
  <si>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</si>
  <si>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</si>
  <si>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</si>
  <si>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</si>
  <si>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</si>
  <si>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</si>
  <si>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</si>
  <si>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</si>
  <si>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</si>
  <si>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</si>
  <si>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</si>
  <si>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</si>
  <si>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</si>
  <si>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</si>
  <si>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</si>
  <si>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</si>
  <si>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</si>
  <si>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</si>
  <si>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</si>
  <si>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</si>
  <si>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</si>
  <si>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</si>
  <si>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</si>
  <si>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</si>
  <si>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</si>
  <si>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</si>
  <si>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</si>
  <si>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</si>
  <si>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</si>
  <si>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</si>
  <si>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</si>
  <si>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</si>
  <si>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</si>
  <si>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</si>
  <si>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</si>
  <si>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</si>
  <si>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</si>
  <si>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</si>
  <si>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</si>
  <si>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</si>
  <si>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</si>
  <si>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</si>
  <si>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</si>
  <si>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</si>
  <si>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</si>
  <si>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</si>
  <si>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</si>
  <si>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</si>
  <si>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</si>
  <si>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</si>
  <si>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</si>
  <si>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</si>
  <si>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</si>
  <si>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</si>
  <si>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</si>
  <si>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</si>
  <si>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</si>
  <si>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</si>
  <si>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</si>
  <si>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</si>
  <si>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</si>
  <si>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</si>
  <si>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</si>
  <si>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</si>
  <si>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</si>
  <si>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</si>
  <si>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</si>
  <si>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</si>
  <si>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</si>
  <si>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</si>
  <si>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</si>
  <si>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</si>
  <si>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</si>
  <si>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</si>
  <si>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</si>
  <si>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</si>
  <si>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</si>
  <si>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</si>
  <si>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</si>
  <si>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</si>
  <si>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</si>
  <si>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</si>
  <si>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</si>
  <si>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</si>
  <si>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</si>
  <si>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</si>
  <si>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</si>
  <si>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</si>
  <si>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</si>
  <si>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</si>
  <si>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</si>
  <si>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</si>
  <si>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</si>
  <si>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</si>
  <si>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</si>
  <si>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</si>
  <si>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</si>
  <si>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</si>
  <si>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</si>
  <si>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</si>
  <si>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</si>
  <si>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</si>
  <si>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</si>
  <si>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</si>
  <si>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</si>
  <si>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</si>
  <si>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</si>
  <si>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</si>
  <si>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</si>
  <si>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</si>
  <si>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</si>
  <si>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</si>
  <si>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</si>
  <si>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</si>
  <si>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</si>
  <si>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</si>
  <si>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</si>
  <si>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</si>
  <si>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</si>
  <si>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</si>
  <si>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</si>
  <si>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</si>
  <si>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</si>
  <si>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</si>
  <si>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</si>
  <si>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</si>
  <si>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</si>
  <si>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</si>
  <si>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</si>
  <si>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</si>
  <si>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</si>
  <si>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</si>
  <si>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</si>
  <si>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</si>
  <si>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</si>
  <si>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</si>
  <si>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</si>
  <si>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</si>
  <si>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</si>
  <si>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</si>
  <si>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</si>
  <si>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</si>
  <si>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</si>
  <si>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</si>
  <si>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</si>
  <si>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</si>
  <si>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</si>
  <si>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</si>
  <si>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</si>
  <si>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</si>
  <si>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</si>
  <si>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</si>
  <si>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</si>
  <si>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</si>
  <si>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</si>
  <si>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</si>
  <si>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</si>
  <si>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</si>
  <si>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</si>
  <si>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</si>
  <si>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</si>
  <si>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</si>
  <si>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</si>
  <si>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</si>
  <si>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</si>
  <si>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</si>
  <si>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</si>
  <si>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</si>
  <si>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</si>
  <si>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</si>
  <si>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</si>
  <si>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</si>
  <si>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</si>
  <si>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</si>
  <si>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</si>
  <si>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</si>
  <si>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</si>
  <si>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</si>
  <si>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</si>
  <si>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</si>
  <si>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</si>
  <si>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</si>
  <si>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</si>
  <si>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</si>
  <si>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</si>
  <si>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</si>
  <si>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</si>
  <si>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</si>
  <si>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</si>
  <si>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</si>
  <si>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</si>
  <si>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</si>
  <si>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</si>
  <si>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</si>
  <si>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</si>
  <si>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</si>
  <si>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</si>
  <si>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</si>
  <si>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</si>
  <si>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</si>
  <si>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</si>
  <si>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</si>
  <si>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</si>
  <si>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</si>
  <si>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</si>
  <si>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</si>
  <si>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</si>
  <si>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</si>
  <si>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</si>
  <si>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</si>
  <si>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</si>
  <si>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</si>
  <si>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</si>
  <si>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</si>
  <si>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</si>
  <si>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</si>
  <si>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</si>
  <si>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</si>
  <si>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</si>
  <si>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</si>
  <si>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</si>
  <si>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</si>
  <si>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</si>
  <si>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</si>
  <si>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</si>
  <si>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</si>
  <si>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</si>
  <si>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</si>
  <si>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</si>
  <si>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</si>
  <si>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</si>
  <si>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</si>
  <si>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</si>
  <si>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</si>
  <si>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</si>
  <si>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</si>
  <si>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</si>
  <si>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</si>
  <si>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</si>
  <si>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</si>
  <si>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</si>
  <si>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</si>
  <si>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</si>
  <si>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</si>
  <si>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</si>
  <si>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</si>
  <si>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</si>
  <si>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</si>
  <si>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</si>
  <si>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</si>
  <si>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</si>
  <si>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</si>
  <si>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</si>
  <si>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</si>
  <si>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</si>
  <si>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</si>
  <si>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</si>
  <si>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</si>
  <si>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</si>
  <si>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</si>
  <si>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</si>
  <si>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</si>
  <si>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</si>
  <si>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</si>
  <si>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</si>
  <si>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</si>
  <si>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</si>
  <si>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</si>
  <si>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</si>
  <si>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</si>
  <si>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</si>
  <si>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</si>
  <si>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</si>
  <si>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</si>
  <si>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</si>
  <si>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</si>
  <si>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</si>
  <si>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</si>
  <si>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</si>
  <si>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</si>
  <si>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</si>
  <si>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</si>
  <si>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</si>
  <si>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</si>
  <si>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</si>
  <si>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</si>
  <si>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</si>
  <si>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</si>
  <si>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</si>
  <si>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</si>
  <si>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</si>
  <si>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</si>
  <si>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</si>
  <si>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</si>
  <si>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</si>
  <si>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</si>
  <si>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</si>
  <si>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</si>
  <si>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</si>
  <si>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</si>
  <si>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</si>
  <si>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</si>
  <si>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</si>
  <si>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</si>
  <si>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</si>
  <si>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</si>
  <si>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</si>
  <si>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</si>
  <si>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</si>
  <si>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</si>
  <si>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</si>
  <si>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</si>
  <si>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</si>
  <si>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</si>
  <si>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</si>
  <si>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</si>
  <si>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</si>
  <si>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</si>
  <si>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</si>
  <si>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</si>
  <si>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</si>
  <si>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</si>
  <si>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</si>
  <si>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</si>
  <si>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</si>
  <si>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</si>
  <si>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</si>
  <si>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</si>
  <si>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</si>
  <si>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</si>
  <si>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</si>
  <si>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</si>
  <si>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</si>
  <si>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</si>
  <si>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</si>
  <si>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</si>
  <si>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</si>
  <si>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</si>
  <si>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</si>
  <si>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</si>
  <si>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</si>
  <si>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</si>
  <si>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</si>
  <si>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</si>
  <si>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</si>
  <si>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</si>
  <si>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</si>
  <si>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</si>
  <si>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</si>
  <si>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</si>
  <si>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</si>
  <si>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</si>
  <si>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</si>
  <si>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</si>
  <si>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</si>
  <si>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</si>
  <si>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</si>
  <si>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</si>
  <si>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</si>
  <si>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</si>
  <si>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</si>
  <si>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</si>
  <si>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</si>
  <si>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</si>
  <si>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</si>
  <si>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</si>
  <si>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</si>
  <si>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</si>
  <si>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</si>
  <si>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</si>
  <si>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</si>
  <si>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</si>
  <si>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</si>
  <si>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</si>
  <si>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</si>
  <si>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</si>
  <si>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</si>
  <si>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</si>
  <si>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</si>
  <si>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</si>
  <si>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</si>
  <si>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</si>
  <si>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</si>
  <si>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</si>
  <si>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</si>
  <si>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</si>
  <si>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</si>
  <si>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</si>
  <si>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</si>
  <si>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</si>
  <si>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</si>
  <si>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</si>
  <si>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</si>
  <si>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</si>
  <si>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</si>
  <si>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</si>
  <si>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</si>
  <si>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</si>
  <si>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</si>
  <si>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</si>
  <si>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</si>
  <si>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</si>
  <si>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</si>
  <si>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</si>
  <si>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</si>
  <si>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</si>
  <si>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</si>
  <si>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</si>
  <si>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</si>
  <si>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</si>
  <si>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</si>
  <si>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</si>
  <si>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</si>
  <si>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</si>
  <si>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</si>
  <si>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</si>
  <si>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</si>
  <si>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</si>
  <si>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</si>
  <si>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</si>
  <si>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</si>
  <si>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</si>
  <si>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</si>
  <si>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</si>
  <si>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</si>
  <si>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</si>
  <si>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</si>
  <si>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</si>
  <si>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</si>
  <si>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</si>
  <si>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</si>
  <si>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</si>
  <si>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</si>
  <si>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</si>
  <si>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</si>
  <si>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</si>
  <si>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</si>
  <si>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</si>
  <si>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</si>
  <si>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</si>
  <si>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</si>
  <si>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</si>
  <si>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</si>
  <si>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</si>
  <si>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</si>
  <si>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</si>
  <si>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</si>
  <si>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</si>
  <si>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</si>
  <si>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</si>
  <si>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</si>
  <si>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</si>
  <si>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</si>
  <si>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</si>
  <si>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</si>
  <si>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</si>
  <si>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</si>
  <si>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</si>
  <si>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</si>
  <si>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</si>
  <si>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</si>
  <si>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</si>
  <si>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</si>
  <si>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</si>
  <si>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</si>
  <si>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</si>
  <si>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</si>
  <si>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</si>
  <si>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</si>
  <si>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</si>
  <si>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</si>
  <si>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</si>
  <si>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</si>
  <si>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</si>
  <si>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</si>
  <si>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</si>
  <si>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</si>
  <si>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</si>
  <si>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</si>
  <si>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</si>
  <si>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</si>
  <si>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</si>
  <si>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</si>
  <si>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</si>
  <si>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</si>
  <si>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</si>
  <si>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</si>
  <si>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</si>
  <si>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</si>
  <si>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</si>
  <si>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</si>
  <si>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</si>
  <si>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</si>
  <si>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</si>
  <si>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</si>
  <si>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</si>
  <si>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</si>
  <si>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</si>
  <si>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</si>
  <si>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</si>
  <si>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</si>
  <si>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</si>
  <si>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</si>
  <si>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</si>
  <si>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</si>
  <si>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</si>
  <si>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</si>
  <si>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</si>
  <si>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</si>
  <si>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</si>
  <si>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</si>
  <si>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</si>
  <si>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</si>
  <si>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</si>
  <si>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</si>
  <si>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</si>
  <si>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</si>
  <si>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</si>
  <si>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</si>
  <si>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</si>
  <si>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</si>
  <si>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</si>
  <si>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</si>
  <si>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</si>
  <si>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</si>
  <si>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</si>
  <si>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</si>
  <si>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</si>
  <si>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</si>
  <si>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</si>
  <si>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</si>
  <si>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</si>
  <si>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</si>
  <si>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</si>
  <si>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</si>
  <si>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</si>
  <si>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</si>
  <si>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</si>
  <si>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</si>
  <si>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</si>
  <si>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</si>
  <si>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</si>
  <si>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</si>
  <si>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</si>
  <si>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</si>
  <si>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</si>
  <si>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</si>
  <si>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</si>
  <si>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</si>
  <si>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</si>
  <si>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</si>
  <si>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</si>
  <si>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</si>
  <si>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</si>
  <si>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</si>
  <si>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</si>
  <si>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</si>
  <si>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</si>
  <si>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</si>
  <si>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</si>
  <si>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</si>
  <si>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</si>
  <si>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</si>
  <si>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</si>
  <si>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</si>
  <si>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</si>
  <si>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</si>
  <si>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</si>
  <si>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</si>
  <si>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</si>
  <si>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</si>
  <si>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</si>
  <si>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</si>
  <si>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</si>
  <si>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</si>
  <si>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</si>
  <si>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</si>
  <si>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</si>
  <si>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</si>
  <si>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</si>
  <si>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</si>
  <si>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</si>
  <si>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</si>
  <si>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</si>
  <si>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</si>
  <si>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</si>
  <si>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</si>
  <si>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</si>
  <si>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</si>
  <si>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</si>
  <si>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</si>
  <si>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</si>
  <si>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</si>
  <si>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</si>
  <si>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</si>
  <si>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</si>
  <si>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</si>
  <si>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</si>
  <si>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</si>
  <si>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</si>
  <si>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</si>
  <si>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</si>
  <si>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</si>
  <si>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</si>
  <si>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</si>
  <si>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</si>
  <si>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</si>
  <si>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</si>
  <si>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</si>
  <si>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</si>
  <si>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</si>
  <si>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</si>
  <si>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</si>
  <si>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</si>
  <si>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</si>
  <si>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</si>
  <si>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</si>
  <si>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</si>
  <si>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</si>
  <si>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</si>
  <si>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</si>
  <si>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</si>
  <si>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</si>
  <si>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</si>
  <si>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</si>
  <si>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</si>
  <si>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</si>
  <si>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</si>
  <si>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</si>
  <si>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</si>
  <si>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</si>
  <si>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</si>
  <si>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</si>
  <si>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</si>
  <si>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</si>
  <si>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</si>
  <si>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</si>
  <si>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</si>
  <si>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</si>
  <si>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</si>
  <si>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</si>
  <si>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</si>
  <si>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</si>
  <si>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</si>
  <si>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</si>
  <si>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</si>
  <si>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</si>
  <si>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</si>
  <si>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</si>
  <si>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</si>
  <si>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</si>
  <si>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</si>
  <si>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</si>
  <si>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</si>
  <si>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</si>
  <si>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</si>
  <si>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</si>
  <si>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</si>
  <si>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</si>
  <si>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</si>
  <si>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</si>
  <si>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</si>
  <si>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</si>
  <si>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</si>
  <si>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</si>
  <si>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</si>
  <si>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</si>
  <si>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</si>
  <si>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</si>
  <si>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</si>
  <si>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</si>
  <si>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</si>
  <si>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</si>
  <si>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</si>
  <si>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</si>
  <si>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</si>
  <si>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</si>
  <si>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</si>
  <si>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</si>
  <si>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</si>
  <si>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</si>
  <si>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</si>
  <si>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</si>
  <si>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</si>
  <si>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</si>
  <si>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</si>
  <si>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</si>
  <si>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</si>
  <si>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</si>
  <si>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</si>
  <si>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</si>
  <si>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</si>
  <si>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</si>
  <si>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</si>
  <si>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</si>
  <si>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</si>
  <si>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</si>
  <si>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</si>
  <si>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</si>
  <si>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</si>
  <si>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</si>
  <si>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</si>
  <si>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</si>
  <si>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</si>
  <si>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</si>
  <si>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</si>
  <si>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</si>
  <si>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</si>
  <si>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</si>
  <si>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</si>
  <si>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</si>
  <si>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</si>
  <si>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</si>
  <si>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</si>
  <si>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</si>
  <si>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</si>
  <si>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</si>
  <si>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</si>
  <si>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</si>
  <si>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</si>
  <si>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</si>
  <si>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</si>
  <si>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</si>
  <si>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</si>
  <si>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</si>
  <si>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</si>
  <si>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</si>
  <si>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</si>
  <si>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</si>
  <si>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</si>
  <si>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</si>
  <si>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</si>
  <si>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</si>
  <si>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</si>
  <si>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</si>
  <si>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</si>
  <si>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</si>
  <si>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</si>
  <si>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</si>
  <si>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</si>
  <si>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</si>
  <si>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</si>
  <si>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</si>
  <si>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</si>
  <si>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</si>
  <si>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</si>
  <si>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</si>
  <si>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</si>
  <si>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</si>
  <si>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</si>
  <si>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</si>
  <si>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</si>
  <si>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</si>
  <si>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</si>
  <si>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</si>
  <si>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</si>
  <si>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</si>
  <si>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</si>
  <si>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</si>
  <si>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</si>
  <si>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</si>
  <si>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</si>
  <si>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</si>
  <si>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</si>
  <si>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</si>
  <si>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</si>
  <si>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</si>
  <si>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</si>
  <si>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</si>
  <si>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</si>
  <si>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</si>
  <si>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</si>
  <si>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</si>
  <si>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</si>
  <si>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</si>
  <si>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</si>
  <si>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</si>
  <si>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</si>
  <si>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</si>
  <si>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</si>
  <si>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</si>
  <si>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</si>
  <si>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</si>
  <si>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</si>
  <si>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</si>
  <si>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</si>
  <si>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</si>
  <si>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</si>
  <si>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</si>
  <si>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</si>
  <si>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</si>
  <si>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</si>
  <si>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</si>
  <si>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</si>
  <si>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</si>
  <si>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</si>
  <si>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</si>
  <si>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</si>
  <si>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</si>
  <si>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</si>
  <si>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</si>
  <si>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</si>
  <si>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</si>
  <si>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</si>
  <si>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</si>
  <si>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</si>
  <si>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</si>
  <si>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</si>
  <si>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</si>
  <si>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</si>
  <si>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</si>
  <si>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</si>
  <si>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</si>
  <si>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</si>
  <si>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</si>
  <si>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</si>
  <si>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</si>
  <si>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</si>
  <si>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</si>
  <si>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</si>
  <si>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</si>
  <si>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</si>
  <si>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</si>
  <si>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</si>
  <si>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</si>
  <si>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</si>
  <si>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</si>
  <si>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</si>
  <si>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</si>
  <si>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</si>
  <si>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</si>
  <si>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</si>
  <si>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</si>
  <si>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</si>
  <si>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</si>
  <si>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</si>
  <si>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</si>
  <si>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</si>
  <si>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</si>
  <si>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</si>
  <si>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</si>
  <si>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</si>
  <si>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</si>
  <si>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</si>
  <si>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</si>
  <si>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</si>
  <si>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</si>
  <si>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</si>
  <si>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</si>
  <si>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</si>
  <si>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</si>
  <si>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</si>
  <si>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</si>
  <si>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</si>
  <si>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</si>
  <si>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</si>
  <si>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</si>
  <si>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</si>
  <si>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</si>
  <si>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</si>
  <si>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</si>
  <si>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</si>
  <si>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</si>
  <si>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</si>
  <si>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</si>
  <si>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</si>
  <si>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</si>
  <si>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</si>
  <si>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</si>
  <si>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</si>
  <si>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</si>
  <si>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</si>
  <si>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</si>
  <si>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</si>
  <si>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</si>
  <si>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</si>
  <si>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</si>
  <si>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</si>
  <si>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</si>
  <si>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</si>
  <si>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</si>
  <si>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</si>
  <si>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</si>
  <si>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</si>
  <si>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</si>
  <si>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</si>
  <si>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</si>
  <si>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</si>
  <si>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</si>
  <si>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</si>
  <si>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</si>
  <si>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</si>
  <si>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</si>
  <si>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</si>
  <si>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</si>
  <si>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</si>
  <si>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</si>
  <si>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</si>
  <si>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</si>
  <si>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</si>
  <si>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</si>
  <si>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</si>
  <si>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</si>
  <si>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</si>
  <si>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</si>
  <si>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</si>
  <si>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</si>
  <si>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</si>
  <si>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</si>
  <si>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</si>
  <si>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</si>
  <si>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</si>
  <si>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</si>
  <si>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</si>
  <si>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</si>
  <si>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</si>
  <si>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</si>
  <si>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</si>
  <si>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</si>
  <si>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</si>
  <si>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</si>
  <si>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</si>
  <si>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</si>
  <si>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</si>
  <si>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</si>
  <si>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</si>
  <si>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</si>
  <si>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</si>
  <si>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</si>
  <si>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</si>
  <si>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</si>
  <si>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</si>
  <si>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</si>
  <si>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</si>
  <si>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</si>
  <si>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</si>
  <si>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</si>
  <si>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</si>
  <si>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</si>
  <si>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</si>
  <si>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</si>
  <si>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</si>
  <si>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</si>
  <si>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</si>
  <si>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</si>
  <si>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</si>
  <si>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</si>
  <si>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</si>
  <si>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</si>
  <si>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</si>
  <si>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</si>
  <si>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</si>
  <si>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</si>
  <si>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</si>
  <si>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</si>
  <si>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</si>
  <si>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</si>
  <si>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</si>
  <si>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</si>
  <si>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</si>
  <si>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</si>
  <si>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</si>
  <si>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</si>
  <si>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</si>
  <si>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</si>
  <si>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</si>
  <si>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</si>
  <si>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</si>
  <si>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</si>
  <si>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</si>
  <si>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</si>
  <si>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</si>
  <si>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</si>
  <si>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</si>
  <si>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</si>
  <si>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</si>
  <si>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</si>
  <si>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</si>
  <si>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</si>
  <si>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</si>
  <si>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</si>
  <si>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</si>
  <si>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</si>
  <si>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</si>
  <si>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</si>
  <si>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</si>
  <si>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</si>
  <si>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</si>
  <si>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</si>
  <si>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</si>
  <si>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</si>
  <si>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</si>
  <si>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</si>
  <si>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</si>
  <si>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</si>
  <si>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</si>
  <si>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</si>
  <si>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</si>
  <si>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</si>
  <si>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</si>
  <si>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</si>
  <si>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</si>
  <si>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</si>
  <si>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</si>
  <si>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</si>
  <si>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</si>
  <si>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</si>
  <si>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</si>
  <si>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</si>
  <si>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</si>
  <si>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</si>
  <si>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</si>
  <si>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</si>
  <si>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</si>
  <si>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</si>
  <si>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</si>
  <si>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</si>
  <si>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</si>
  <si>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</si>
  <si>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</si>
  <si>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</si>
  <si>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</si>
  <si>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</si>
  <si>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</si>
  <si>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</si>
  <si>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</si>
  <si>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</si>
  <si>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</si>
  <si>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</si>
  <si>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</si>
  <si>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</si>
  <si>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</si>
  <si>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</si>
  <si>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</si>
  <si>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</si>
  <si>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</si>
  <si>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</si>
  <si>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</si>
  <si>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</si>
  <si>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</si>
  <si>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</si>
  <si>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</si>
  <si>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</si>
  <si>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</si>
  <si>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</si>
  <si>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</si>
  <si>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</si>
  <si>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</si>
  <si>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</si>
  <si>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</si>
  <si>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</si>
  <si>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</si>
  <si>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</si>
  <si>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</si>
  <si>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</si>
  <si>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</si>
  <si>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</si>
  <si>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</si>
  <si>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</si>
  <si>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</si>
  <si>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</si>
  <si>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</si>
  <si>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</si>
  <si>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</si>
  <si>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</si>
  <si>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</si>
  <si>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</si>
  <si>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</si>
  <si>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</si>
  <si>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</si>
  <si>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</si>
  <si>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</si>
  <si>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</si>
  <si>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</si>
  <si>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</si>
  <si>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</si>
  <si>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</si>
  <si>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</si>
  <si>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</si>
  <si>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</si>
  <si>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</si>
  <si>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</si>
  <si>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</si>
  <si>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</si>
  <si>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</si>
  <si>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</si>
  <si>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</si>
  <si>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</si>
  <si>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</si>
  <si>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</si>
  <si>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</si>
  <si>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</si>
  <si>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</si>
  <si>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</si>
  <si>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</si>
  <si>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</si>
  <si>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</si>
  <si>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</si>
  <si>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</si>
  <si>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</si>
  <si>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</si>
  <si>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</si>
  <si>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</si>
  <si>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</si>
  <si>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</si>
  <si>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</si>
  <si>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</si>
  <si>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</si>
  <si>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</si>
  <si>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</si>
  <si>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</si>
  <si>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</si>
  <si>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</si>
  <si>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</si>
  <si>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</si>
  <si>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</si>
  <si>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</si>
  <si>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</si>
  <si>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</si>
  <si>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</si>
  <si>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</si>
  <si>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</si>
  <si>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</si>
  <si>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</si>
  <si>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</si>
  <si>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</si>
  <si>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</si>
  <si>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</si>
  <si>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</si>
  <si>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</si>
  <si>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</si>
  <si>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</si>
  <si>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</si>
  <si>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</si>
  <si>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</si>
  <si>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</si>
  <si>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</si>
  <si>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</si>
  <si>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</si>
  <si>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</si>
  <si>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</si>
  <si>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</si>
  <si>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</si>
  <si>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</si>
  <si>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</si>
  <si>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</si>
  <si>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</si>
  <si>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</si>
  <si>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</si>
  <si>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</si>
  <si>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</si>
  <si>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</si>
  <si>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</si>
  <si>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</si>
  <si>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</si>
  <si>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</si>
  <si>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</si>
  <si>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</si>
  <si>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</si>
  <si>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</si>
  <si>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</si>
  <si>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</si>
  <si>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</si>
  <si>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</si>
  <si>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</si>
  <si>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</si>
  <si>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</si>
  <si>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</si>
  <si>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</si>
  <si>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</si>
  <si>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</si>
  <si>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</si>
  <si>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</si>
  <si>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</si>
  <si>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</si>
  <si>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</si>
  <si>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</si>
  <si>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</si>
  <si>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</si>
  <si>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</si>
  <si>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</si>
  <si>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</si>
  <si>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</si>
  <si>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</si>
  <si>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</si>
  <si>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</si>
  <si>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</si>
  <si>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</si>
  <si>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</si>
  <si>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</si>
  <si>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</si>
  <si>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</si>
  <si>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</si>
  <si>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</si>
  <si>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</si>
  <si>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</si>
  <si>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</si>
  <si>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</si>
  <si>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</si>
  <si>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</si>
  <si>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</si>
  <si>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</si>
  <si>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</si>
  <si>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</si>
  <si>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</si>
  <si>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</si>
  <si>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</si>
  <si>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</si>
  <si>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</si>
  <si>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</si>
  <si>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</si>
  <si>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</si>
  <si>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</si>
  <si>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</si>
  <si>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</si>
  <si>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</si>
  <si>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</si>
  <si>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</si>
  <si>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</si>
  <si>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</si>
  <si>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</si>
  <si>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</si>
  <si>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</si>
  <si>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</si>
  <si>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</si>
  <si>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</si>
  <si>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</si>
  <si>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</si>
  <si>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</si>
  <si>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</si>
  <si>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</si>
  <si>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</si>
  <si>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</si>
  <si>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</si>
  <si>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</si>
  <si>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</si>
  <si>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</si>
  <si>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</si>
  <si>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</si>
  <si>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</si>
  <si>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</si>
  <si>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</si>
  <si>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</si>
  <si>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</si>
  <si>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</si>
  <si>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</si>
  <si>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</si>
  <si>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</si>
  <si>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</si>
  <si>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</si>
  <si>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</si>
  <si>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</si>
  <si>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</si>
  <si>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</si>
  <si>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</si>
  <si>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</si>
  <si>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</si>
  <si>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</si>
  <si>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</si>
  <si>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</si>
  <si>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</si>
  <si>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</si>
  <si>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</si>
  <si>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</si>
  <si>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</si>
  <si>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</si>
  <si>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</si>
  <si>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</si>
  <si>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</si>
  <si>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</si>
  <si>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</si>
  <si>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</si>
  <si>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</si>
  <si>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</si>
  <si>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</si>
  <si>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</si>
  <si>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</si>
  <si>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</si>
  <si>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</si>
  <si>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</si>
  <si>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</si>
  <si>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</si>
  <si>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</si>
  <si>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</si>
  <si>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</si>
  <si>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</si>
  <si>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</si>
  <si>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</si>
  <si>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</si>
  <si>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</si>
  <si>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</si>
  <si>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</si>
  <si>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</si>
  <si>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</si>
  <si>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</si>
  <si>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</si>
  <si>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</si>
  <si>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</si>
  <si>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</si>
  <si>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</si>
  <si>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</si>
  <si>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</si>
  <si>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</si>
  <si>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</si>
  <si>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</si>
  <si>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</si>
  <si>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</si>
  <si>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</si>
  <si>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</si>
  <si>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</si>
  <si>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</si>
  <si>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</si>
  <si>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</si>
  <si>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</si>
  <si>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</si>
  <si>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</si>
  <si>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</si>
  <si>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</si>
  <si>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</si>
  <si>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</si>
  <si>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</si>
  <si>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</si>
  <si>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</si>
  <si>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</si>
  <si>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</si>
  <si>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</si>
  <si>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</si>
  <si>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</si>
  <si>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</si>
  <si>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</si>
  <si>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</si>
  <si>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</si>
  <si>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</si>
  <si>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</si>
  <si>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</si>
  <si>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</si>
  <si>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</si>
  <si>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</si>
  <si>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</si>
  <si>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</si>
  <si>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</si>
  <si>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</si>
  <si>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</si>
  <si>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</si>
  <si>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</si>
  <si>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</si>
  <si>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</si>
  <si>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</si>
  <si>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</si>
  <si>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</si>
  <si>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</si>
  <si>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</si>
  <si>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</si>
  <si>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</si>
  <si>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</si>
  <si>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</si>
  <si>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</si>
  <si>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</si>
  <si>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</si>
  <si>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</si>
  <si>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</si>
  <si>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</si>
  <si>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</si>
  <si>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</si>
  <si>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</si>
  <si>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</si>
  <si>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</si>
  <si>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</si>
  <si>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</si>
  <si>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</si>
  <si>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</si>
  <si>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</si>
  <si>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</si>
  <si>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</si>
  <si>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</si>
  <si>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</si>
  <si>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</si>
  <si>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</si>
  <si>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</si>
  <si>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</si>
  <si>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</si>
  <si>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</si>
  <si>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</si>
  <si>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</si>
  <si>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</si>
  <si>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</si>
  <si>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</si>
  <si>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</si>
  <si>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</si>
  <si>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</si>
  <si>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</si>
  <si>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</si>
  <si>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</si>
  <si>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</si>
  <si>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</si>
  <si>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</si>
  <si>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</si>
  <si>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</si>
  <si>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</si>
  <si>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</si>
  <si>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</si>
  <si>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</si>
  <si>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</si>
  <si>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</si>
  <si>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</si>
  <si>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</si>
  <si>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</si>
  <si>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</si>
  <si>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</si>
  <si>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</si>
  <si>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</si>
  <si>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</si>
  <si>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</si>
  <si>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</si>
  <si>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</si>
  <si>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</si>
  <si>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</si>
  <si>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</si>
  <si>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</si>
  <si>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</si>
  <si>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</si>
  <si>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</si>
  <si>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</si>
  <si>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</si>
  <si>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</si>
  <si>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</si>
  <si>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</si>
  <si>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</si>
  <si>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</si>
  <si>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</si>
  <si>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</si>
  <si>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</si>
  <si>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</si>
  <si>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</si>
  <si>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</si>
  <si>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</si>
  <si>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</si>
  <si>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</si>
  <si>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</si>
  <si>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</si>
  <si>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</si>
  <si>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</si>
  <si>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</si>
  <si>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</si>
  <si>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</si>
  <si>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</si>
  <si>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</si>
  <si>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</si>
  <si>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</si>
  <si>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</si>
  <si>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</si>
  <si>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</si>
  <si>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</si>
  <si>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</si>
  <si>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</si>
  <si>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</si>
  <si>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</si>
  <si>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</si>
  <si>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</si>
  <si>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</si>
  <si>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</si>
  <si>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</si>
  <si>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</si>
  <si>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</si>
  <si>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</si>
  <si>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</si>
  <si>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</si>
  <si>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</si>
  <si>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</si>
  <si>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</si>
  <si>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</si>
  <si>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</si>
  <si>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</si>
  <si>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</si>
  <si>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</si>
  <si>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</si>
  <si>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</si>
  <si>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</si>
  <si>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</si>
  <si>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</si>
  <si>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</si>
  <si>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</si>
  <si>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</si>
  <si>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</si>
  <si>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</si>
  <si>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</si>
  <si>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</si>
  <si>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</si>
  <si>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</si>
  <si>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</si>
  <si>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</si>
  <si>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</si>
  <si>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</si>
  <si>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</si>
  <si>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</si>
  <si>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</si>
  <si>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</si>
  <si>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</si>
  <si>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</si>
  <si>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</si>
  <si>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</si>
  <si>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</si>
  <si>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</si>
  <si>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</si>
  <si>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</si>
  <si>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</si>
  <si>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</si>
  <si>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</si>
  <si>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</si>
  <si>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</si>
  <si>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</si>
  <si>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</si>
  <si>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</si>
  <si>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</si>
  <si>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</si>
  <si>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</si>
  <si>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</si>
  <si>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</si>
  <si>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</si>
  <si>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</si>
  <si>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</si>
  <si>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</si>
  <si>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</si>
  <si>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</si>
  <si>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</si>
  <si>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</si>
  <si>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</si>
  <si>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</si>
  <si>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</si>
  <si>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</si>
  <si>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</si>
  <si>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</si>
  <si>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</si>
  <si>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</si>
  <si>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</si>
  <si>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</si>
  <si>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</si>
  <si>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</si>
  <si>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</si>
  <si>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</si>
  <si>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</si>
  <si>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</si>
  <si>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</si>
  <si>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</si>
  <si>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</si>
  <si>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</si>
  <si>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</si>
  <si>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</si>
  <si>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</si>
  <si>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</si>
  <si>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</si>
  <si>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</si>
  <si>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</si>
  <si>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</si>
  <si>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</si>
  <si>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</si>
  <si>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</si>
  <si>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</si>
  <si>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</si>
  <si>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</si>
  <si>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</si>
  <si>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</si>
  <si>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</si>
  <si>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</si>
  <si>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</si>
  <si>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</si>
  <si>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</si>
  <si>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</si>
  <si>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</si>
  <si>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</si>
  <si>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</si>
  <si>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</si>
  <si>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</si>
  <si>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</si>
  <si>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</si>
  <si>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</si>
  <si>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</si>
  <si>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</si>
  <si>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</si>
  <si>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</si>
  <si>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</si>
  <si>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</si>
  <si>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</si>
  <si>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</si>
  <si>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</si>
  <si>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</si>
  <si>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</si>
  <si>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</si>
  <si>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</si>
  <si>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</si>
  <si>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</si>
  <si>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</si>
  <si>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</si>
  <si>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</si>
  <si>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</si>
  <si>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</si>
  <si>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</si>
  <si>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</si>
  <si>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</si>
  <si>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</si>
  <si>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</si>
  <si>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</si>
  <si>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</si>
  <si>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</si>
  <si>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</si>
  <si>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</si>
  <si>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</si>
  <si>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</si>
  <si>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</si>
  <si>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</si>
  <si>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</si>
  <si>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</si>
  <si>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</si>
  <si>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</si>
  <si>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</si>
  <si>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</si>
  <si>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</si>
  <si>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</si>
  <si>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</si>
  <si>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</si>
  <si>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</si>
  <si>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</si>
  <si>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</si>
  <si>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</si>
  <si>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</si>
  <si>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</si>
  <si>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</si>
  <si>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</si>
  <si>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</si>
  <si>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</si>
  <si>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</si>
  <si>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</si>
  <si>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</si>
  <si>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</si>
  <si>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</si>
  <si>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</si>
  <si>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</si>
  <si>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</si>
  <si>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</si>
  <si>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</si>
  <si>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</si>
  <si>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</si>
  <si>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</si>
  <si>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</si>
  <si>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</si>
  <si>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</si>
  <si>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</si>
  <si>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</si>
  <si>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</si>
  <si>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</si>
  <si>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</si>
  <si>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</si>
  <si>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</si>
  <si>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</si>
  <si>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</si>
  <si>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</si>
  <si>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</si>
  <si>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</si>
  <si>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</si>
  <si>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</si>
  <si>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</si>
  <si>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</si>
  <si>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</si>
  <si>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</si>
  <si>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</si>
  <si>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</si>
  <si>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</si>
  <si>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</si>
  <si>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</si>
  <si>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</si>
  <si>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</si>
  <si>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</si>
  <si>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</si>
  <si>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</si>
  <si>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</si>
  <si>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</si>
  <si>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</si>
  <si>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</si>
  <si>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</si>
  <si>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</si>
  <si>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</si>
  <si>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</si>
  <si>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</si>
  <si>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</si>
  <si>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</si>
  <si>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</si>
  <si>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</si>
  <si>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</si>
  <si>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</si>
  <si>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</si>
  <si>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</si>
  <si>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</si>
  <si>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</si>
  <si>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</si>
  <si>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</si>
  <si>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</si>
  <si>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</si>
  <si>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</si>
  <si>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</si>
  <si>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</si>
  <si>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</si>
  <si>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</si>
  <si>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</si>
  <si>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</si>
  <si>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</si>
  <si>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</si>
  <si>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</si>
  <si>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</si>
  <si>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</si>
  <si>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</si>
  <si>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</si>
  <si>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</si>
  <si>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</si>
  <si>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</si>
  <si>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</si>
  <si>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</si>
  <si>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</si>
  <si>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</si>
  <si>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</si>
  <si>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</si>
  <si>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</si>
  <si>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</si>
  <si>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</si>
  <si>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</si>
  <si>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</si>
  <si>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</si>
  <si>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</si>
  <si>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</si>
  <si>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</si>
  <si>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</si>
  <si>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</si>
  <si>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</si>
  <si>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</si>
  <si>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</si>
  <si>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</si>
  <si>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</si>
  <si>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</si>
  <si>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</si>
  <si>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</si>
  <si>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</si>
  <si>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</si>
  <si>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</si>
  <si>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</si>
  <si>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</si>
  <si>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</si>
  <si>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</si>
  <si>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</si>
  <si>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</si>
  <si>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</si>
  <si>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</si>
  <si>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</si>
  <si>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</si>
  <si>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</si>
  <si>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</si>
  <si>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</si>
  <si>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</si>
  <si>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</si>
  <si>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</si>
  <si>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</si>
  <si>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</si>
  <si>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</si>
  <si>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</si>
  <si>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</si>
  <si>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</si>
  <si>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</si>
  <si>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</si>
  <si>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</si>
  <si>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</si>
  <si>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</si>
  <si>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</si>
  <si>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</si>
  <si>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</si>
  <si>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</si>
  <si>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</si>
  <si>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</si>
  <si>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</si>
  <si>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</si>
  <si>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</si>
  <si>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</si>
  <si>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</si>
  <si>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</si>
  <si>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</si>
  <si>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</si>
  <si>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</si>
  <si>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</si>
  <si>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</si>
  <si>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</si>
  <si>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</si>
  <si>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</si>
  <si>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</si>
  <si>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</si>
  <si>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</si>
  <si>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</si>
  <si>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</si>
  <si>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</si>
  <si>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</si>
  <si>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</si>
  <si>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</si>
  <si>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</si>
  <si>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</si>
  <si>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</si>
  <si>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</si>
  <si>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</si>
  <si>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</si>
  <si>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</si>
  <si>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</si>
  <si>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</si>
  <si>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</si>
  <si>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</si>
  <si>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</si>
  <si>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</si>
  <si>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</si>
  <si>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</si>
  <si>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</si>
  <si>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</si>
  <si>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</si>
  <si>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</si>
  <si>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</si>
  <si>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</si>
  <si>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</si>
  <si>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</si>
  <si>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</si>
  <si>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</si>
  <si>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</si>
  <si>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</si>
  <si>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</si>
  <si>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</si>
  <si>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</si>
  <si>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</si>
  <si>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</si>
  <si>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</si>
  <si>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</si>
  <si>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</si>
  <si>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</si>
  <si>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</si>
  <si>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</si>
  <si>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</si>
  <si>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</si>
  <si>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</si>
  <si>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</si>
  <si>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</si>
  <si>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</si>
  <si>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</si>
  <si>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</si>
  <si>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</si>
  <si>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</si>
  <si>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</si>
  <si>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</si>
  <si>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</si>
  <si>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</si>
  <si>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</si>
  <si>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</si>
  <si>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</si>
  <si>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</si>
  <si>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</si>
  <si>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</si>
  <si>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</si>
  <si>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</si>
  <si>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</si>
  <si>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</si>
  <si>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</si>
  <si>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</si>
  <si>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</si>
  <si>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</si>
  <si>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</si>
  <si>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</si>
  <si>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</si>
  <si>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</si>
  <si>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</si>
  <si>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</si>
  <si>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</si>
  <si>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</si>
  <si>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</si>
  <si>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</si>
  <si>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</si>
  <si>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</si>
  <si>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</si>
  <si>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</si>
  <si>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</si>
  <si>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</si>
  <si>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</si>
  <si>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</si>
  <si>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</si>
  <si>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</si>
  <si>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</si>
  <si>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</si>
  <si>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</si>
  <si>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</si>
  <si>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</si>
  <si>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</si>
  <si>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</si>
  <si>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</si>
  <si>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</si>
  <si>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</si>
  <si>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</si>
  <si>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</si>
  <si>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</si>
  <si>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</si>
  <si>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</si>
  <si>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</si>
  <si>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</si>
  <si>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</si>
  <si>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</si>
  <si>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</si>
  <si>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</si>
  <si>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</si>
  <si>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</si>
  <si>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</si>
  <si>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</si>
  <si>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</si>
  <si>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</si>
  <si>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</si>
  <si>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</si>
  <si>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</si>
  <si>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</si>
  <si>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</si>
  <si>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</si>
  <si>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</si>
  <si>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</si>
  <si>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</si>
  <si>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</si>
  <si>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</si>
  <si>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</si>
  <si>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</si>
  <si>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</si>
  <si>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</si>
  <si>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</si>
  <si>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</si>
  <si>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</si>
  <si>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</si>
  <si>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</si>
  <si>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</si>
  <si>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</si>
  <si>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</si>
  <si>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</si>
  <si>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</si>
  <si>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</si>
  <si>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</si>
  <si>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</si>
  <si>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</si>
  <si>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</si>
  <si>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</si>
  <si>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</si>
  <si>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</si>
  <si>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</si>
  <si>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</si>
  <si>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</si>
  <si>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</si>
  <si>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</si>
  <si>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</si>
  <si>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</si>
  <si>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</si>
  <si>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</si>
  <si>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</si>
  <si>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</si>
  <si>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</si>
  <si>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</si>
  <si>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</si>
  <si>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</si>
  <si>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</si>
  <si>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</si>
  <si>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</si>
  <si>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</si>
  <si>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</si>
  <si>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</si>
  <si>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</si>
  <si>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</si>
  <si>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</si>
  <si>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</si>
  <si>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</si>
  <si>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</si>
  <si>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</si>
  <si>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</si>
  <si>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</si>
  <si>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</si>
  <si>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</si>
  <si>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</si>
  <si>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</si>
  <si>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</si>
  <si>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</si>
  <si>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</si>
  <si>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</si>
  <si>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</si>
  <si>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</si>
  <si>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</si>
  <si>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</si>
  <si>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</si>
  <si>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</si>
  <si>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</si>
  <si>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</si>
  <si>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</si>
  <si>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</si>
  <si>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</si>
  <si>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</si>
  <si>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</si>
  <si>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</si>
  <si>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</si>
  <si>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</si>
  <si>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</si>
  <si>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</si>
  <si>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</si>
  <si>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</si>
  <si>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</si>
  <si>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</si>
  <si>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</si>
  <si>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</si>
  <si>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</si>
  <si>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</si>
  <si>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</si>
  <si>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</si>
  <si>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</si>
  <si>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</si>
  <si>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</si>
  <si>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</si>
  <si>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</si>
  <si>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</si>
  <si>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</si>
  <si>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</si>
  <si>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</si>
  <si>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</si>
  <si>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</si>
  <si>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</si>
  <si>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</si>
  <si>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</si>
  <si>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</si>
  <si>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</si>
  <si>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</si>
  <si>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</si>
  <si>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</si>
  <si>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</si>
  <si>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</si>
  <si>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</si>
  <si>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</si>
  <si>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</si>
  <si>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</si>
  <si>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</si>
  <si>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</si>
  <si>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</si>
  <si>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</si>
  <si>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</si>
  <si>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</si>
  <si>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</si>
  <si>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</si>
  <si>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</si>
  <si>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</si>
  <si>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</si>
  <si>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</si>
  <si>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</si>
  <si>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</si>
  <si>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</si>
  <si>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</si>
  <si>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</si>
  <si>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</si>
  <si>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</si>
  <si>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</si>
  <si>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</si>
  <si>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</si>
  <si>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</si>
  <si>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</si>
  <si>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</si>
  <si>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</si>
  <si>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</si>
  <si>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</si>
  <si>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</si>
  <si>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</si>
  <si>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</si>
  <si>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</si>
  <si>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</si>
  <si>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</si>
  <si>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</si>
  <si>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</si>
  <si>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</si>
  <si>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</si>
  <si>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</si>
  <si>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</si>
  <si>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</si>
  <si>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</si>
  <si>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</si>
  <si>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</si>
  <si>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</si>
  <si>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</si>
  <si>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</si>
  <si>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</si>
  <si>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</si>
  <si>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</si>
  <si>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</si>
  <si>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</si>
  <si>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</si>
  <si>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</si>
  <si>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</si>
  <si>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</si>
  <si>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</si>
  <si>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</si>
  <si>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</si>
  <si>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</si>
  <si>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</si>
  <si>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</si>
  <si>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</si>
  <si>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</si>
  <si>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</si>
  <si>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</si>
  <si>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</si>
  <si>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</si>
  <si>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</si>
  <si>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</si>
  <si>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</si>
  <si>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</si>
  <si>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</si>
  <si>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</si>
  <si>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</si>
  <si>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</si>
  <si>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</si>
  <si>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</si>
  <si>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</si>
  <si>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</si>
  <si>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</si>
  <si>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</si>
  <si>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</si>
  <si>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</si>
  <si>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</si>
  <si>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</si>
  <si>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</si>
  <si>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</si>
  <si>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</si>
  <si>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</si>
  <si>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</si>
  <si>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</si>
  <si>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</si>
  <si>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</si>
  <si>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</si>
  <si>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</si>
  <si>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</si>
  <si>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</si>
  <si>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</si>
  <si>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</si>
  <si>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</si>
  <si>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</si>
  <si>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</si>
  <si>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</si>
  <si>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</si>
  <si>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</si>
  <si>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</si>
  <si>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</si>
  <si>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</si>
  <si>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</si>
  <si>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</si>
  <si>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</si>
  <si>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</si>
  <si>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</si>
  <si>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</si>
  <si>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</si>
  <si>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</si>
  <si>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</si>
  <si>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</si>
  <si>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</si>
  <si>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</si>
  <si>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</si>
  <si>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</si>
  <si>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</si>
  <si>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</si>
  <si>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</si>
  <si>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</si>
  <si>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</si>
  <si>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</si>
  <si>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</si>
  <si>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</si>
  <si>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</si>
  <si>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</si>
  <si>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</si>
  <si>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</si>
  <si>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</si>
  <si>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</si>
  <si>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</si>
  <si>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</si>
  <si>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</si>
  <si>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</si>
  <si>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</si>
  <si>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</si>
  <si>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</si>
  <si>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</si>
  <si>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</si>
  <si>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</si>
  <si>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</si>
  <si>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</si>
  <si>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</si>
  <si>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</si>
  <si>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</si>
  <si>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</si>
  <si>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</si>
  <si>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</si>
  <si>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</si>
  <si>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</si>
  <si>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</si>
  <si>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</si>
  <si>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</si>
  <si>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</si>
  <si>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</si>
  <si>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</si>
  <si>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</si>
  <si>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</si>
  <si>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</si>
  <si>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</si>
  <si>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</si>
  <si>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</si>
  <si>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</si>
  <si>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</si>
  <si>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</si>
  <si>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</si>
  <si>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</si>
  <si>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</si>
  <si>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</si>
  <si>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</si>
  <si>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</si>
  <si>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</si>
  <si>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</si>
  <si>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</si>
  <si>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</si>
  <si>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</si>
  <si>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</si>
  <si>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</si>
  <si>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</si>
  <si>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</si>
  <si>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</si>
  <si>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</si>
  <si>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</si>
  <si>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</si>
  <si>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</si>
  <si>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</si>
  <si>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</si>
  <si>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</si>
  <si>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</si>
  <si>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</si>
  <si>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</si>
  <si>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</si>
  <si>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</si>
  <si>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</si>
  <si>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</si>
  <si>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</si>
  <si>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</si>
  <si>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</si>
  <si>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</si>
  <si>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</si>
  <si>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</si>
  <si>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</si>
  <si>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</si>
  <si>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</si>
  <si>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</si>
  <si>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</si>
  <si>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</si>
  <si>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</si>
  <si>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</si>
  <si>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</si>
  <si>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</si>
  <si>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</si>
  <si>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</si>
  <si>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</si>
  <si>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</si>
  <si>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</si>
  <si>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</si>
  <si>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</si>
  <si>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</si>
  <si>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</si>
  <si>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</si>
  <si>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</si>
  <si>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</si>
  <si>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</si>
  <si>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</si>
  <si>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</si>
  <si>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</si>
  <si>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</si>
  <si>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</si>
  <si>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</si>
  <si>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</si>
  <si>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</si>
  <si>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</si>
  <si>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</si>
  <si>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</si>
  <si>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</si>
  <si>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</si>
  <si>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</si>
  <si>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</si>
  <si>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</si>
  <si>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</si>
  <si>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</si>
  <si>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</si>
  <si>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</si>
  <si>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</si>
  <si>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</si>
  <si>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</si>
  <si>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</si>
  <si>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</si>
  <si>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</si>
  <si>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</si>
  <si>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</si>
  <si>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</si>
  <si>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</si>
  <si>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</si>
  <si>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</si>
  <si>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</si>
  <si>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</si>
  <si>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</si>
  <si>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</si>
  <si>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</si>
  <si>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</si>
  <si>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</si>
  <si>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</si>
  <si>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</si>
  <si>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</si>
  <si>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</si>
  <si>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</si>
  <si>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</si>
  <si>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</si>
  <si>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</si>
  <si>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</si>
  <si>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</si>
  <si>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</si>
  <si>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</si>
  <si>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</si>
  <si>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</si>
  <si>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</si>
  <si>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</si>
  <si>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</si>
  <si>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</si>
  <si>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</si>
  <si>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</si>
  <si>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</si>
  <si>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</si>
  <si>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</si>
  <si>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</si>
  <si>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</si>
  <si>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</si>
  <si>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</si>
  <si>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</si>
  <si>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</si>
  <si>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</si>
  <si>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</si>
  <si>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</si>
  <si>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</si>
  <si>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</si>
  <si>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</si>
  <si>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</si>
  <si>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</si>
  <si>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</si>
  <si>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</si>
  <si>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</si>
  <si>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</si>
  <si>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</si>
  <si>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</si>
  <si>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</si>
  <si>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</si>
  <si>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</si>
  <si>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</si>
  <si>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</si>
  <si>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</si>
  <si>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</si>
  <si>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</si>
  <si>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</si>
  <si>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</si>
  <si>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</si>
  <si>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</si>
  <si>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</si>
  <si>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</si>
  <si>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</si>
  <si>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</si>
  <si>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</si>
  <si>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</si>
  <si>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</si>
  <si>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</si>
  <si>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</si>
  <si>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</si>
  <si>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</si>
  <si>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</si>
  <si>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</si>
  <si>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</si>
  <si>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</si>
  <si>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</si>
  <si>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</si>
  <si>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</si>
  <si>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</si>
  <si>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</si>
  <si>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</si>
  <si>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</si>
  <si>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</si>
  <si>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</si>
  <si>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</si>
  <si>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</si>
  <si>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</si>
  <si>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</si>
  <si>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</si>
  <si>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</si>
  <si>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</si>
  <si>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</si>
  <si>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</si>
  <si>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</si>
  <si>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</si>
  <si>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</si>
  <si>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</si>
  <si>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</si>
  <si>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</si>
  <si>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</si>
  <si>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</si>
  <si>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</si>
  <si>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</si>
  <si>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</si>
  <si>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</si>
  <si>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</si>
  <si>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</si>
  <si>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</si>
  <si>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</si>
  <si>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</si>
  <si>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</si>
  <si>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</si>
  <si>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</si>
  <si>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</si>
  <si>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</si>
  <si>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</si>
  <si>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</si>
  <si>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</si>
  <si>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</si>
  <si>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</si>
  <si>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</si>
  <si>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</si>
  <si>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</si>
  <si>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</si>
  <si>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</si>
  <si>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</si>
  <si>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</si>
  <si>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</si>
  <si>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</si>
  <si>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</si>
  <si>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</si>
  <si>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</si>
  <si>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</si>
  <si>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</si>
  <si>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</si>
  <si>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</si>
  <si>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</si>
  <si>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</si>
  <si>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</si>
  <si>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</si>
  <si>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</si>
  <si>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</si>
  <si>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</si>
  <si>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</si>
  <si>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</si>
  <si>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</si>
  <si>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</si>
  <si>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</si>
  <si>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</si>
  <si>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</si>
  <si>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</si>
  <si>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</si>
  <si>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</si>
  <si>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</si>
  <si>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</si>
  <si>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</si>
  <si>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</si>
  <si>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</si>
  <si>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</si>
  <si>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</si>
  <si>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</si>
  <si>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</si>
  <si>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</si>
  <si>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</si>
  <si>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</si>
  <si>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</si>
  <si>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</si>
  <si>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</si>
  <si>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</si>
  <si>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</si>
  <si>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</si>
  <si>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</si>
  <si>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</si>
  <si>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</si>
  <si>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</si>
  <si>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</si>
  <si>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</si>
  <si>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</si>
  <si>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</si>
  <si>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</si>
  <si>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</si>
  <si>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</si>
  <si>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</si>
  <si>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</si>
  <si>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</si>
  <si>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</si>
  <si>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</si>
  <si>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</si>
  <si>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</si>
  <si>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</si>
  <si>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</si>
  <si>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</si>
  <si>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</si>
  <si>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</si>
  <si>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</si>
  <si>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</si>
  <si>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</si>
  <si>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</si>
  <si>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</si>
  <si>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</si>
  <si>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</si>
  <si>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</si>
  <si>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</si>
  <si>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</si>
  <si>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</si>
  <si>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</si>
  <si>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</si>
  <si>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</si>
  <si>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</si>
  <si>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</si>
  <si>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</si>
  <si>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</si>
  <si>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</si>
  <si>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</si>
  <si>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</si>
  <si>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</si>
  <si>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</si>
  <si>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</si>
  <si>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</si>
  <si>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</si>
  <si>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</si>
  <si>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</si>
  <si>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</si>
  <si>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</si>
  <si>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</si>
  <si>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</si>
  <si>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</si>
  <si>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</si>
  <si>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</si>
  <si>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</si>
  <si>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</si>
  <si>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</si>
  <si>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</si>
  <si>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</si>
  <si>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</si>
  <si>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</si>
  <si>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</si>
  <si>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</si>
  <si>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</si>
  <si>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</si>
  <si>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</si>
  <si>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</si>
  <si>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</si>
  <si>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</si>
  <si>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</si>
  <si>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</si>
  <si>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</si>
  <si>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</si>
  <si>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</si>
  <si>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</si>
  <si>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</si>
  <si>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</si>
  <si>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</si>
  <si>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</si>
  <si>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</si>
  <si>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</si>
  <si>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</si>
  <si>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</si>
  <si>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</si>
  <si>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</si>
  <si>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</si>
  <si>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</si>
  <si>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</si>
  <si>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</si>
  <si>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</si>
  <si>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</si>
  <si>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</si>
  <si>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</si>
  <si>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</si>
  <si>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</si>
  <si>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</si>
  <si>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</si>
  <si>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</si>
  <si>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</si>
  <si>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</si>
  <si>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</si>
  <si>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</si>
  <si>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</si>
  <si>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</si>
  <si>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</si>
  <si>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</si>
  <si>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</si>
  <si>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</si>
  <si>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</si>
  <si>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</si>
  <si>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</si>
  <si>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</si>
  <si>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</si>
  <si>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</si>
  <si>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</si>
  <si>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</si>
  <si>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</si>
  <si>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</si>
  <si>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</si>
  <si>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</si>
  <si>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</si>
  <si>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</si>
  <si>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</si>
  <si>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</si>
  <si>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</si>
  <si>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</si>
  <si>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</si>
  <si>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</si>
  <si>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</si>
  <si>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</si>
  <si>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</si>
  <si>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</si>
  <si>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</si>
  <si>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</si>
  <si>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</si>
  <si>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</si>
  <si>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</si>
  <si>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</si>
  <si>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</si>
  <si>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</si>
  <si>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</si>
  <si>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</si>
  <si>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</si>
  <si>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</si>
  <si>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</si>
  <si>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</si>
  <si>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</si>
  <si>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</si>
  <si>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</si>
  <si>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</si>
  <si>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</si>
  <si>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</si>
  <si>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</si>
  <si>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</si>
  <si>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</si>
  <si>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</si>
  <si>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</si>
  <si>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</si>
  <si>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</si>
  <si>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</si>
  <si>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</si>
  <si>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</si>
  <si>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</si>
  <si>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</si>
  <si>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</si>
  <si>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</si>
  <si>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</si>
  <si>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</si>
  <si>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</si>
  <si>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</si>
  <si>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</si>
  <si>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</si>
  <si>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</si>
  <si>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</si>
  <si>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</si>
  <si>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</si>
  <si>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</si>
  <si>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</si>
  <si>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</si>
  <si>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</si>
  <si>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</si>
  <si>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</si>
  <si>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</si>
  <si>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</si>
  <si>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</si>
  <si>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</si>
  <si>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</si>
  <si>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</si>
  <si>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</si>
  <si>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</si>
  <si>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</si>
  <si>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</si>
  <si>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</si>
  <si>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</si>
  <si>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</si>
  <si>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</si>
  <si>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</si>
  <si>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</si>
  <si>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</si>
  <si>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</si>
  <si>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</si>
  <si>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</si>
  <si>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</si>
  <si>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</si>
  <si>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</si>
  <si>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</si>
  <si>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</si>
  <si>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</si>
  <si>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</si>
  <si>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</si>
  <si>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</si>
  <si>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</si>
  <si>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</si>
  <si>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</si>
  <si>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</si>
  <si>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</si>
  <si>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</si>
  <si>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</si>
  <si>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</si>
  <si>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</si>
  <si>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</si>
  <si>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</si>
  <si>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</si>
  <si>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</si>
  <si>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</si>
  <si>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</si>
  <si>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</si>
  <si>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</si>
  <si>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</si>
  <si>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</si>
  <si>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</si>
  <si>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</si>
  <si>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</si>
  <si>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</si>
  <si>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</si>
  <si>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</si>
  <si>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</si>
  <si>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</si>
  <si>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</si>
  <si>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</si>
  <si>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</si>
  <si>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</si>
  <si>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</si>
  <si>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</si>
  <si>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</si>
  <si>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</si>
  <si>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</si>
  <si>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</si>
  <si>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</si>
  <si>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</si>
  <si>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</si>
  <si>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</si>
  <si>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</si>
  <si>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</si>
  <si>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</si>
  <si>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</si>
  <si>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</si>
  <si>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</si>
  <si>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</si>
  <si>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</si>
  <si>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</si>
  <si>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</si>
  <si>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</si>
  <si>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</si>
  <si>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</si>
  <si>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</si>
  <si>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</si>
  <si>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</si>
  <si>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</si>
  <si>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</si>
  <si>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</si>
  <si>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</si>
  <si>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</si>
  <si>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</si>
  <si>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</si>
  <si>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</si>
  <si>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</si>
  <si>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</si>
  <si>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</si>
  <si>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</si>
  <si>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</si>
  <si>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</si>
  <si>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</si>
  <si>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</si>
  <si>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</si>
  <si>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</si>
  <si>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</si>
  <si>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</si>
  <si>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</si>
  <si>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</si>
  <si>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</si>
  <si>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</si>
  <si>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</si>
  <si>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</si>
  <si>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</si>
  <si>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</si>
  <si>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</si>
  <si>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</si>
  <si>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</si>
  <si>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</si>
  <si>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</si>
  <si>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</si>
  <si>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</si>
  <si>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</si>
  <si>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</si>
  <si>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</si>
  <si>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</si>
  <si>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</si>
  <si>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</si>
  <si>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</si>
  <si>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</si>
  <si>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</si>
  <si>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</si>
  <si>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</si>
  <si>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</si>
  <si>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</si>
  <si>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</si>
  <si>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</si>
  <si>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</si>
  <si>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</si>
  <si>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</si>
  <si>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</si>
  <si>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</si>
  <si>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</si>
  <si>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</si>
  <si>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</si>
  <si>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</si>
  <si>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</si>
  <si>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</si>
  <si>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</si>
  <si>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</si>
  <si>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</si>
  <si>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</si>
  <si>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</si>
  <si>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</si>
  <si>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</si>
  <si>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</si>
  <si>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</si>
  <si>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</si>
  <si>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</si>
  <si>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</si>
  <si>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</si>
  <si>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</si>
  <si>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</si>
  <si>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</si>
  <si>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</si>
  <si>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31407797858</t>
  </si>
  <si>
    <t>IVKOM DD</t>
  </si>
  <si>
    <t>IVANEC</t>
  </si>
  <si>
    <t>V. NAZORA 96B</t>
  </si>
  <si>
    <t>ivkom@ivkom.hr</t>
  </si>
  <si>
    <t>042/770-550</t>
  </si>
  <si>
    <t>www.ivkom.hr</t>
  </si>
  <si>
    <t>Brankica Kušen</t>
  </si>
  <si>
    <t>042770573</t>
  </si>
  <si>
    <t>brankica@ivkom.hr</t>
  </si>
  <si>
    <t>Rajh Edo</t>
  </si>
  <si>
    <t>03136906</t>
  </si>
  <si>
    <t>070000553</t>
  </si>
  <si>
    <t>41748200389</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</si>
</sst>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35"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2019</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1003585.48</v>
      </c>
      <c r="I3" s="31">
        <f>ABS(ROUND(J3,0)-J3)+ABS(ROUND(K3,0)-K3)</f>
        <v>0</v>
      </c>
      <c r="J3" s="31">
        <f>Bilanca!I10</f>
        <v>17517818</v>
      </c>
      <c r="K3" s="31">
        <f>Bilanca!J10</f>
        <v>16330728</v>
      </c>
    </row>
    <row r="4" spans="1:11" ht="12.75">
      <c r="A4" s="4" t="s">
        <v>1088</v>
      </c>
      <c r="B4" s="29" t="s">
        <v>1888</v>
      </c>
      <c r="D4" s="4" t="s">
        <v>1521</v>
      </c>
      <c r="E4" s="4">
        <v>1</v>
      </c>
      <c r="F4" s="4">
        <f>Bilanca!G11</f>
        <v>3</v>
      </c>
      <c r="G4" s="4">
        <f>IF(Bilanca!H11=0,"",Bilanca!H11)</f>
      </c>
      <c r="H4" s="30">
        <f>J4/100*F4+2*K4/100*F4</f>
        <v>58525.28999999999</v>
      </c>
      <c r="I4" s="31">
        <f>ABS(ROUND(J4,0)-J4)+ABS(ROUND(K4,0)-K4)</f>
        <v>0</v>
      </c>
      <c r="J4" s="31">
        <f>Bilanca!I11</f>
        <v>654303</v>
      </c>
      <c r="K4" s="31">
        <f>Bilanca!J11</f>
        <v>648270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03136906</v>
      </c>
      <c r="D6" s="4" t="s">
        <v>1521</v>
      </c>
      <c r="E6" s="4">
        <v>1</v>
      </c>
      <c r="F6" s="4">
        <f>Bilanca!G13</f>
        <v>5</v>
      </c>
      <c r="G6" s="4">
        <f>IF(Bilanca!H13=0,"",Bilanca!H13)</f>
      </c>
      <c r="H6" s="30">
        <f aca="true" t="shared" si="0" ref="H6:H45">J6/100*F6+2*K6/100*F6</f>
        <v>9249.2</v>
      </c>
      <c r="I6" s="31">
        <f aca="true" t="shared" si="1" ref="I6:I45">ABS(ROUND(J6,0)-J6)+ABS(ROUND(K6,0)-K6)</f>
        <v>0</v>
      </c>
      <c r="J6" s="31">
        <f>Bilanca!I13</f>
        <v>77158</v>
      </c>
      <c r="K6" s="31">
        <f>Bilanca!J13</f>
        <v>53913</v>
      </c>
    </row>
    <row r="7" spans="1:11" ht="12.75">
      <c r="A7" s="4" t="s">
        <v>2353</v>
      </c>
      <c r="B7" s="29" t="str">
        <f>RefStr!M27</f>
        <v>070000553</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31407797858</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IVKOM DD</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42240</v>
      </c>
      <c r="D10" s="4" t="s">
        <v>1521</v>
      </c>
      <c r="E10" s="4">
        <v>1</v>
      </c>
      <c r="F10" s="4">
        <f>Bilanca!G17</f>
        <v>9</v>
      </c>
      <c r="G10" s="4">
        <f>IF(Bilanca!H17=0,"",Bilanca!H17)</f>
      </c>
      <c r="H10" s="30">
        <f t="shared" si="0"/>
        <v>158927.31</v>
      </c>
      <c r="I10" s="31">
        <f t="shared" si="1"/>
        <v>0</v>
      </c>
      <c r="J10" s="31">
        <f>Bilanca!I17</f>
        <v>577145</v>
      </c>
      <c r="K10" s="31">
        <f>Bilanca!J17</f>
        <v>594357</v>
      </c>
    </row>
    <row r="11" spans="1:11" ht="12.75">
      <c r="A11" s="4" t="s">
        <v>2356</v>
      </c>
      <c r="B11" s="29" t="str">
        <f>TRIM(RefStr!F31)</f>
        <v>IVANEC</v>
      </c>
      <c r="D11" s="4" t="s">
        <v>1521</v>
      </c>
      <c r="E11" s="4">
        <v>1</v>
      </c>
      <c r="F11" s="4">
        <f>Bilanca!G18</f>
        <v>10</v>
      </c>
      <c r="G11" s="4">
        <f>IF(Bilanca!H18=0,"",Bilanca!H18)</f>
      </c>
      <c r="H11" s="30">
        <f t="shared" si="0"/>
        <v>4135280.3000000007</v>
      </c>
      <c r="I11" s="31">
        <f t="shared" si="1"/>
        <v>0</v>
      </c>
      <c r="J11" s="31">
        <f>Bilanca!I18</f>
        <v>14571639</v>
      </c>
      <c r="K11" s="31">
        <f>Bilanca!J18</f>
        <v>13390582</v>
      </c>
    </row>
    <row r="12" spans="1:11" ht="12.75">
      <c r="A12" s="4" t="s">
        <v>2357</v>
      </c>
      <c r="B12" s="29" t="str">
        <f>TRIM(RefStr!C33)</f>
        <v>V. NAZORA 96B</v>
      </c>
      <c r="D12" s="4" t="s">
        <v>1521</v>
      </c>
      <c r="E12" s="4">
        <v>1</v>
      </c>
      <c r="F12" s="4">
        <f>Bilanca!G19</f>
        <v>11</v>
      </c>
      <c r="G12" s="4">
        <f>IF(Bilanca!H19=0,"",Bilanca!H19)</f>
      </c>
      <c r="H12" s="30">
        <f t="shared" si="0"/>
        <v>5848.26</v>
      </c>
      <c r="I12" s="31">
        <f t="shared" si="1"/>
        <v>0</v>
      </c>
      <c r="J12" s="31">
        <f>Bilanca!I19</f>
        <v>17722</v>
      </c>
      <c r="K12" s="31">
        <f>Bilanca!J19</f>
        <v>17722</v>
      </c>
    </row>
    <row r="13" spans="1:11" ht="12.75">
      <c r="A13" s="4" t="s">
        <v>1193</v>
      </c>
      <c r="B13" s="29" t="str">
        <f>TRIM(RefStr!C35)</f>
        <v>ivkom@ivkom.hr</v>
      </c>
      <c r="D13" s="4" t="s">
        <v>1521</v>
      </c>
      <c r="E13" s="4">
        <v>1</v>
      </c>
      <c r="F13" s="4">
        <f>Bilanca!G20</f>
        <v>12</v>
      </c>
      <c r="G13" s="4">
        <f>IF(Bilanca!H20=0,"",Bilanca!H20)</f>
      </c>
      <c r="H13" s="30">
        <f t="shared" si="0"/>
        <v>2934146.4000000004</v>
      </c>
      <c r="I13" s="31">
        <f t="shared" si="1"/>
        <v>0</v>
      </c>
      <c r="J13" s="31">
        <f>Bilanca!I20</f>
        <v>2185960</v>
      </c>
      <c r="K13" s="31">
        <f>Bilanca!J20</f>
        <v>11132630</v>
      </c>
    </row>
    <row r="14" spans="1:11" ht="12.75">
      <c r="A14" s="4" t="s">
        <v>1194</v>
      </c>
      <c r="B14" s="29" t="str">
        <f>TRIM(RefStr!C37)</f>
        <v>www.ivkom.hr</v>
      </c>
      <c r="D14" s="4" t="s">
        <v>1521</v>
      </c>
      <c r="E14" s="4">
        <v>1</v>
      </c>
      <c r="F14" s="4">
        <f>Bilanca!G21</f>
        <v>13</v>
      </c>
      <c r="G14" s="4">
        <f>IF(Bilanca!H21=0,"",Bilanca!H21)</f>
      </c>
      <c r="H14" s="30">
        <f t="shared" si="0"/>
        <v>238086.29</v>
      </c>
      <c r="I14" s="31">
        <f t="shared" si="1"/>
        <v>0</v>
      </c>
      <c r="J14" s="31">
        <f>Bilanca!I21</f>
        <v>723599</v>
      </c>
      <c r="K14" s="31">
        <f>Bilanca!J21</f>
        <v>553917</v>
      </c>
    </row>
    <row r="15" spans="1:11" ht="12.75">
      <c r="A15" s="4" t="s">
        <v>2360</v>
      </c>
      <c r="B15" s="29" t="str">
        <f>TEXT(RefStr!J39,"00")</f>
        <v>05</v>
      </c>
      <c r="D15" s="4" t="s">
        <v>1521</v>
      </c>
      <c r="E15" s="4">
        <v>1</v>
      </c>
      <c r="F15" s="4">
        <f>Bilanca!G22</f>
        <v>14</v>
      </c>
      <c r="G15" s="4">
        <f>IF(Bilanca!H22=0,"",Bilanca!H22)</f>
      </c>
      <c r="H15" s="30">
        <f t="shared" si="0"/>
        <v>411244.68</v>
      </c>
      <c r="I15" s="31">
        <f t="shared" si="1"/>
        <v>0</v>
      </c>
      <c r="J15" s="31">
        <f>Bilanca!I22</f>
        <v>1162938</v>
      </c>
      <c r="K15" s="31">
        <f>Bilanca!J22</f>
        <v>887262</v>
      </c>
    </row>
    <row r="16" spans="1:11" ht="12.75">
      <c r="A16" s="4" t="s">
        <v>2359</v>
      </c>
      <c r="B16" s="29" t="str">
        <f>TEXT(RefStr!C39,"000")</f>
        <v>156</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3811</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2053518.74</v>
      </c>
      <c r="I18" s="31">
        <f t="shared" si="1"/>
        <v>0</v>
      </c>
      <c r="J18" s="31">
        <f>Bilanca!I25</f>
        <v>10481420</v>
      </c>
      <c r="K18" s="31">
        <f>Bilanca!J25</f>
        <v>799051</v>
      </c>
    </row>
    <row r="19" spans="1:11" ht="12.75">
      <c r="A19" s="4" t="s">
        <v>1196</v>
      </c>
      <c r="B19" s="29" t="str">
        <f>IF(RefStr!I21&lt;&gt;"",RefStr!I21,"")</f>
        <v>DA</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f>IF(Bilanca!H28=0,"",Bilanca!H28)</f>
      </c>
      <c r="H21" s="30">
        <f t="shared" si="0"/>
        <v>1375125.5999999999</v>
      </c>
      <c r="I21" s="31">
        <f t="shared" si="1"/>
        <v>0</v>
      </c>
      <c r="J21" s="31">
        <f>Bilanca!I28</f>
        <v>2291876</v>
      </c>
      <c r="K21" s="31">
        <f>Bilanca!J28</f>
        <v>2291876</v>
      </c>
    </row>
    <row r="22" spans="1:11" ht="12.75">
      <c r="A22" s="4" t="s">
        <v>1199</v>
      </c>
      <c r="B22" s="29">
        <f>RefStr!C52</f>
        <v>11</v>
      </c>
      <c r="D22" s="4" t="s">
        <v>1521</v>
      </c>
      <c r="E22" s="4">
        <v>1</v>
      </c>
      <c r="F22" s="4">
        <f>Bilanca!G29</f>
        <v>21</v>
      </c>
      <c r="G22" s="4">
        <f>IF(Bilanca!H29=0,"",Bilanca!H29)</f>
      </c>
      <c r="H22" s="30">
        <f t="shared" si="0"/>
        <v>1443881.88</v>
      </c>
      <c r="I22" s="31">
        <f t="shared" si="1"/>
        <v>0</v>
      </c>
      <c r="J22" s="31">
        <f>Bilanca!I29</f>
        <v>2291876</v>
      </c>
      <c r="K22" s="31">
        <f>Bilanca!J29</f>
        <v>2291876</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77</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78</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67</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69</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9893337.870000001</v>
      </c>
      <c r="I38" s="31">
        <f t="shared" si="1"/>
        <v>0</v>
      </c>
      <c r="J38" s="31">
        <f>Bilanca!I45</f>
        <v>8675283</v>
      </c>
      <c r="K38" s="31">
        <f>Bilanca!J45</f>
        <v>9031734</v>
      </c>
    </row>
    <row r="39" spans="1:11" ht="12.75">
      <c r="A39" s="4" t="s">
        <v>1216</v>
      </c>
      <c r="B39" s="29" t="str">
        <f>RefStr!C68</f>
        <v>Brankica Kušen</v>
      </c>
      <c r="D39" s="4" t="s">
        <v>1521</v>
      </c>
      <c r="E39" s="4">
        <v>1</v>
      </c>
      <c r="F39" s="4">
        <f>Bilanca!G46</f>
        <v>38</v>
      </c>
      <c r="G39" s="4">
        <f>IF(Bilanca!H46=0,"",Bilanca!H46)</f>
      </c>
      <c r="H39" s="30">
        <f t="shared" si="0"/>
        <v>499600.82000000007</v>
      </c>
      <c r="I39" s="31">
        <f t="shared" si="1"/>
        <v>0</v>
      </c>
      <c r="J39" s="31">
        <f>Bilanca!I46</f>
        <v>410047</v>
      </c>
      <c r="K39" s="31">
        <f>Bilanca!J46</f>
        <v>452346</v>
      </c>
    </row>
    <row r="40" spans="1:11" ht="12.75">
      <c r="A40" s="4" t="s">
        <v>1217</v>
      </c>
      <c r="B40" s="29" t="str">
        <f>TRIM(RefStr!C70)</f>
        <v>042770573</v>
      </c>
      <c r="D40" s="4" t="s">
        <v>1521</v>
      </c>
      <c r="E40" s="4">
        <v>1</v>
      </c>
      <c r="F40" s="4">
        <f>Bilanca!G47</f>
        <v>39</v>
      </c>
      <c r="G40" s="4">
        <f>IF(Bilanca!H47=0,"",Bilanca!H47)</f>
      </c>
      <c r="H40" s="30">
        <f t="shared" si="0"/>
        <v>397875.27</v>
      </c>
      <c r="I40" s="31">
        <f t="shared" si="1"/>
        <v>0</v>
      </c>
      <c r="J40" s="31">
        <f>Bilanca!I47</f>
        <v>322391</v>
      </c>
      <c r="K40" s="31">
        <f>Bilanca!J47</f>
        <v>348901</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brankica@ivkom.hr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Rajh Edo</v>
      </c>
      <c r="D43" s="4" t="s">
        <v>1521</v>
      </c>
      <c r="E43" s="4">
        <v>1</v>
      </c>
      <c r="F43" s="4">
        <f>Bilanca!G50</f>
        <v>42</v>
      </c>
      <c r="G43" s="4">
        <f>IF(Bilanca!H50=0,"",Bilanca!H50)</f>
      </c>
      <c r="H43" s="30">
        <f t="shared" si="0"/>
        <v>123709.32</v>
      </c>
      <c r="I43" s="31">
        <f t="shared" si="1"/>
        <v>0</v>
      </c>
      <c r="J43" s="31">
        <f>Bilanca!I50</f>
        <v>87656</v>
      </c>
      <c r="K43" s="31">
        <f>Bilanca!J50</f>
        <v>103445</v>
      </c>
    </row>
    <row r="44" spans="1:11" ht="12.75">
      <c r="A44" s="4" t="s">
        <v>2853</v>
      </c>
      <c r="B44" s="29" t="str">
        <f>IF(RefStr!C4&lt;&gt;"",TEXT(RefStr!C4,"YYYYMMDD"),"")</f>
        <v>20190101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20191231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3831108.16</v>
      </c>
      <c r="I47" s="31">
        <f t="shared" si="3"/>
        <v>0</v>
      </c>
      <c r="J47" s="31">
        <f>Bilanca!I54</f>
        <v>4073714</v>
      </c>
      <c r="K47" s="31">
        <f>Bilanca!J54</f>
        <v>2127391</v>
      </c>
    </row>
    <row r="48" spans="1:11" ht="12.75">
      <c r="A48" s="4" t="s">
        <v>1918</v>
      </c>
      <c r="B48" s="29" t="str">
        <f>RefStr!I54</f>
        <v>NE</v>
      </c>
      <c r="D48" s="4" t="s">
        <v>1521</v>
      </c>
      <c r="E48" s="4">
        <v>1</v>
      </c>
      <c r="F48" s="4">
        <f>Bilanca!G55</f>
        <v>47</v>
      </c>
      <c r="G48" s="4">
        <f>IF(Bilanca!H55=0,"",Bilanca!H55)</f>
      </c>
      <c r="H48" s="30">
        <f t="shared" si="2"/>
        <v>99603.81</v>
      </c>
      <c r="I48" s="31">
        <f t="shared" si="3"/>
        <v>0</v>
      </c>
      <c r="J48" s="31">
        <f>Bilanca!I55</f>
        <v>79209</v>
      </c>
      <c r="K48" s="31">
        <f>Bilanca!J55</f>
        <v>66357</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3939492.2</v>
      </c>
      <c r="I50" s="31">
        <f t="shared" si="3"/>
        <v>0</v>
      </c>
      <c r="J50" s="31">
        <f>Bilanca!I57</f>
        <v>3980668</v>
      </c>
      <c r="K50" s="31">
        <f>Bilanca!J57</f>
        <v>2029556</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37118.82</v>
      </c>
      <c r="I52" s="31">
        <f t="shared" si="3"/>
        <v>0</v>
      </c>
      <c r="J52" s="31">
        <f>Bilanca!I59</f>
        <v>12606</v>
      </c>
      <c r="K52" s="31">
        <f>Bilanca!J59</f>
        <v>30088</v>
      </c>
    </row>
    <row r="53" spans="1:11" ht="12.75">
      <c r="A53" s="4" t="s">
        <v>532</v>
      </c>
      <c r="B53" s="29" t="str">
        <f>RefStr!I56</f>
        <v>DA</v>
      </c>
      <c r="D53" s="4" t="s">
        <v>1521</v>
      </c>
      <c r="E53" s="4">
        <v>1</v>
      </c>
      <c r="F53" s="4">
        <f>Bilanca!G60</f>
        <v>52</v>
      </c>
      <c r="G53" s="4">
        <f>IF(Bilanca!H60=0,"",Bilanca!H60)</f>
      </c>
      <c r="H53" s="30">
        <f t="shared" si="2"/>
        <v>2085.7200000000003</v>
      </c>
      <c r="I53" s="31">
        <f t="shared" si="3"/>
        <v>0</v>
      </c>
      <c r="J53" s="31">
        <f>Bilanca!I60</f>
        <v>1231</v>
      </c>
      <c r="K53" s="31">
        <f>Bilanca!J60</f>
        <v>1390</v>
      </c>
    </row>
    <row r="54" spans="1:11" ht="12.75">
      <c r="A54" s="4" t="s">
        <v>533</v>
      </c>
      <c r="B54" s="29" t="str">
        <f>RefStr!I62</f>
        <v>DA</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1518288106.6999998</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41748200389</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10770175.08</v>
      </c>
      <c r="I64" s="31">
        <f t="shared" si="3"/>
        <v>0</v>
      </c>
      <c r="J64" s="31">
        <f>Bilanca!I71</f>
        <v>4191522</v>
      </c>
      <c r="K64" s="31">
        <f>Bilanca!J71</f>
        <v>6451997</v>
      </c>
    </row>
    <row r="65" spans="1:11" ht="12.75">
      <c r="A65" s="4" t="s">
        <v>687</v>
      </c>
      <c r="B65" s="29" t="str">
        <f>RefStr!N19</f>
        <v>HSFI</v>
      </c>
      <c r="D65" s="4" t="s">
        <v>1521</v>
      </c>
      <c r="E65" s="4">
        <v>1</v>
      </c>
      <c r="F65" s="4">
        <f>Bilanca!G72</f>
        <v>64</v>
      </c>
      <c r="G65" s="4">
        <f>IF(Bilanca!H72=0,"",Bilanca!H72)</f>
      </c>
      <c r="H65" s="30">
        <f t="shared" si="2"/>
        <v>126180.48</v>
      </c>
      <c r="I65" s="31">
        <f t="shared" si="3"/>
        <v>0</v>
      </c>
      <c r="J65" s="31">
        <f>Bilanca!I72</f>
        <v>148277</v>
      </c>
      <c r="K65" s="31">
        <f>Bilanca!J72</f>
        <v>24440</v>
      </c>
    </row>
    <row r="66" spans="1:11" ht="12.75">
      <c r="A66" s="4" t="s">
        <v>688</v>
      </c>
      <c r="B66" s="29">
        <f>RefStr!C23</f>
        <v>1</v>
      </c>
      <c r="D66" s="4" t="s">
        <v>1521</v>
      </c>
      <c r="E66" s="4">
        <v>1</v>
      </c>
      <c r="F66" s="4">
        <f>Bilanca!G73</f>
        <v>65</v>
      </c>
      <c r="G66" s="4">
        <f>IF(Bilanca!H73=0,"",Bilanca!H73)</f>
      </c>
      <c r="H66" s="30">
        <f t="shared" si="2"/>
        <v>50124868.3</v>
      </c>
      <c r="I66" s="31">
        <f t="shared" si="3"/>
        <v>0</v>
      </c>
      <c r="J66" s="31">
        <f>Bilanca!I73</f>
        <v>26341378</v>
      </c>
      <c r="K66" s="31">
        <f>Bilanca!J73</f>
        <v>25386902</v>
      </c>
    </row>
    <row r="67" spans="1:11" ht="12.75">
      <c r="A67" s="4" t="s">
        <v>689</v>
      </c>
      <c r="B67" s="29" t="str">
        <f>RefStr!L35</f>
        <v>042/770-550</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7</v>
      </c>
      <c r="D68" s="4" t="s">
        <v>1521</v>
      </c>
      <c r="E68" s="4">
        <v>1</v>
      </c>
      <c r="F68" s="4">
        <f>Bilanca!G76</f>
        <v>67</v>
      </c>
      <c r="G68" s="4">
        <f>IF(Bilanca!H76=0,"",Bilanca!H76)</f>
      </c>
      <c r="H68" s="30">
        <f t="shared" si="2"/>
        <v>28443537.47</v>
      </c>
      <c r="I68" s="31">
        <f t="shared" si="3"/>
        <v>0</v>
      </c>
      <c r="J68" s="31">
        <f>Bilanca!I76</f>
        <v>14099599</v>
      </c>
      <c r="K68" s="31">
        <f>Bilanca!J76</f>
        <v>14176721</v>
      </c>
    </row>
    <row r="69" spans="1:11" ht="12.75">
      <c r="A69" s="4" t="s">
        <v>691</v>
      </c>
      <c r="B69" s="29">
        <f>RefStr!M46</f>
        <v>0</v>
      </c>
      <c r="D69" s="4" t="s">
        <v>1521</v>
      </c>
      <c r="E69" s="4">
        <v>1</v>
      </c>
      <c r="F69" s="4">
        <f>Bilanca!G77</f>
        <v>68</v>
      </c>
      <c r="G69" s="4">
        <f>IF(Bilanca!H77=0,"",Bilanca!H77)</f>
      </c>
      <c r="H69" s="30">
        <f t="shared" si="2"/>
        <v>21446132.400000002</v>
      </c>
      <c r="I69" s="31">
        <f t="shared" si="3"/>
        <v>0</v>
      </c>
      <c r="J69" s="31">
        <f>Bilanca!I77</f>
        <v>10512810</v>
      </c>
      <c r="K69" s="31">
        <f>Bilanca!J77</f>
        <v>10512810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6205865.4</v>
      </c>
      <c r="I71" s="31">
        <f t="shared" si="3"/>
        <v>0</v>
      </c>
      <c r="J71" s="31">
        <f>Bilanca!I79</f>
        <v>2953612</v>
      </c>
      <c r="K71" s="31">
        <f>Bilanca!J79</f>
        <v>2955955</v>
      </c>
    </row>
    <row r="72" spans="4:11" ht="12.75">
      <c r="D72" s="4" t="s">
        <v>1521</v>
      </c>
      <c r="E72" s="4">
        <v>1</v>
      </c>
      <c r="F72" s="4">
        <f>Bilanca!G80</f>
        <v>71</v>
      </c>
      <c r="G72" s="4">
        <f>IF(Bilanca!H80=0,"",Bilanca!H80)</f>
      </c>
      <c r="H72" s="30">
        <f t="shared" si="2"/>
        <v>125627.4</v>
      </c>
      <c r="I72" s="31">
        <f t="shared" si="3"/>
        <v>0</v>
      </c>
      <c r="J72" s="31">
        <f>Bilanca!I80</f>
        <v>57418</v>
      </c>
      <c r="K72" s="31">
        <f>Bilanca!J80</f>
        <v>59761</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6516436.5</v>
      </c>
      <c r="I76" s="31">
        <f t="shared" si="3"/>
        <v>0</v>
      </c>
      <c r="J76" s="31">
        <f>Bilanca!I84</f>
        <v>2896194</v>
      </c>
      <c r="K76" s="31">
        <f>Bilanca!J84</f>
        <v>2896194</v>
      </c>
    </row>
    <row r="77" spans="4:11" ht="12.75">
      <c r="D77" s="4" t="s">
        <v>1521</v>
      </c>
      <c r="E77" s="4">
        <v>1</v>
      </c>
      <c r="F77" s="4">
        <f>Bilanca!G85</f>
        <v>76</v>
      </c>
      <c r="G77" s="4">
        <f>IF(Bilanca!H85=0,"",Bilanca!H85)</f>
      </c>
      <c r="H77" s="30">
        <f t="shared" si="2"/>
        <v>794276.76</v>
      </c>
      <c r="I77" s="31">
        <f t="shared" si="3"/>
        <v>0</v>
      </c>
      <c r="J77" s="31">
        <f>Bilanca!I85</f>
        <v>348367</v>
      </c>
      <c r="K77" s="31">
        <f>Bilanca!J85</f>
        <v>348367</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650342.52</v>
      </c>
      <c r="I82" s="31">
        <f t="shared" si="3"/>
        <v>0</v>
      </c>
      <c r="J82" s="31">
        <f>Bilanca!I90</f>
        <v>237956</v>
      </c>
      <c r="K82" s="31">
        <f>Bilanca!J90</f>
        <v>282468</v>
      </c>
    </row>
    <row r="83" spans="4:11" ht="12.75">
      <c r="D83" s="4" t="s">
        <v>1521</v>
      </c>
      <c r="E83" s="4">
        <v>1</v>
      </c>
      <c r="F83" s="4">
        <f>Bilanca!G91</f>
        <v>82</v>
      </c>
      <c r="G83" s="4">
        <f>IF(Bilanca!H91=0,"",Bilanca!H91)</f>
      </c>
      <c r="H83" s="30">
        <f t="shared" si="2"/>
        <v>658371.44</v>
      </c>
      <c r="I83" s="31">
        <f t="shared" si="3"/>
        <v>0</v>
      </c>
      <c r="J83" s="31">
        <f>Bilanca!I91</f>
        <v>237956</v>
      </c>
      <c r="K83" s="31">
        <f>Bilanca!J91</f>
        <v>282468</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168920.64</v>
      </c>
      <c r="I85" s="31">
        <f>ABS(ROUND(J85,0)-J85)+ABS(ROUND(K85,0)-K85)</f>
        <v>0</v>
      </c>
      <c r="J85" s="31">
        <f>Bilanca!I93</f>
        <v>46854</v>
      </c>
      <c r="K85" s="31">
        <f>Bilanca!J93</f>
        <v>77121</v>
      </c>
    </row>
    <row r="86" spans="4:11" ht="12.75">
      <c r="D86" s="4" t="s">
        <v>1521</v>
      </c>
      <c r="E86" s="4">
        <v>1</v>
      </c>
      <c r="F86" s="4">
        <f>Bilanca!G94</f>
        <v>85</v>
      </c>
      <c r="G86" s="4">
        <f>IF(Bilanca!H94=0,"",Bilanca!H94)</f>
      </c>
      <c r="H86" s="30">
        <f>J86/100*F86+2*K86/100*F86</f>
        <v>170931.6</v>
      </c>
      <c r="I86" s="31">
        <f>ABS(ROUND(J86,0)-J86)+ABS(ROUND(K86,0)-K86)</f>
        <v>0</v>
      </c>
      <c r="J86" s="31">
        <f>Bilanca!I94</f>
        <v>46854</v>
      </c>
      <c r="K86" s="31">
        <f>Bilanca!J94</f>
        <v>77121</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5290325.03</v>
      </c>
      <c r="I108" s="31">
        <f t="shared" si="5"/>
        <v>0</v>
      </c>
      <c r="J108" s="31">
        <f>Bilanca!I116</f>
        <v>1640643</v>
      </c>
      <c r="K108" s="31">
        <f>Bilanca!J116</f>
        <v>1651793</v>
      </c>
    </row>
    <row r="109" spans="4:11" ht="12.75">
      <c r="D109" s="4" t="s">
        <v>1521</v>
      </c>
      <c r="E109" s="4">
        <v>1</v>
      </c>
      <c r="F109" s="4">
        <f>Bilanca!G117</f>
        <v>108</v>
      </c>
      <c r="G109" s="4">
        <f>IF(Bilanca!H117=0,"",Bilanca!H117)</f>
      </c>
      <c r="H109" s="30">
        <f t="shared" si="4"/>
        <v>34763.04</v>
      </c>
      <c r="I109" s="31">
        <f t="shared" si="5"/>
        <v>0</v>
      </c>
      <c r="J109" s="31">
        <f>Bilanca!I117</f>
        <v>0</v>
      </c>
      <c r="K109" s="31">
        <f>Bilanca!J117</f>
        <v>16094</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2550213.55</v>
      </c>
      <c r="I116" s="31">
        <f t="shared" si="5"/>
        <v>0</v>
      </c>
      <c r="J116" s="31">
        <f>Bilanca!I124</f>
        <v>730655</v>
      </c>
      <c r="K116" s="31">
        <f>Bilanca!J124</f>
        <v>743461</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1543314.24</v>
      </c>
      <c r="I118" s="31">
        <f t="shared" si="5"/>
        <v>0</v>
      </c>
      <c r="J118" s="31">
        <f>Bilanca!I126</f>
        <v>409256</v>
      </c>
      <c r="K118" s="31">
        <f>Bilanca!J126</f>
        <v>454908</v>
      </c>
    </row>
    <row r="119" spans="4:11" ht="12.75">
      <c r="D119" s="4" t="s">
        <v>1521</v>
      </c>
      <c r="E119" s="4">
        <v>1</v>
      </c>
      <c r="F119" s="4">
        <f>Bilanca!G127</f>
        <v>118</v>
      </c>
      <c r="G119" s="4">
        <f>IF(Bilanca!H127=0,"",Bilanca!H127)</f>
      </c>
      <c r="H119" s="30">
        <f t="shared" si="4"/>
        <v>1572872.74</v>
      </c>
      <c r="I119" s="31">
        <f t="shared" si="5"/>
        <v>0</v>
      </c>
      <c r="J119" s="31">
        <f>Bilanca!I127</f>
        <v>488699</v>
      </c>
      <c r="K119" s="31">
        <f>Bilanca!J127</f>
        <v>422122</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51363.29</v>
      </c>
      <c r="I122" s="31">
        <f t="shared" si="5"/>
        <v>0</v>
      </c>
      <c r="J122" s="31">
        <f>Bilanca!I130</f>
        <v>12033</v>
      </c>
      <c r="K122" s="31">
        <f>Bilanca!J130</f>
        <v>15208</v>
      </c>
    </row>
    <row r="123" spans="4:11" ht="12.75">
      <c r="D123" s="4" t="s">
        <v>1521</v>
      </c>
      <c r="E123" s="4">
        <v>1</v>
      </c>
      <c r="F123" s="4">
        <f>Bilanca!G131</f>
        <v>122</v>
      </c>
      <c r="G123" s="4">
        <f>IF(Bilanca!H131=0,"",Bilanca!H131)</f>
      </c>
      <c r="H123" s="30">
        <f t="shared" si="4"/>
        <v>36255852.64</v>
      </c>
      <c r="I123" s="31">
        <f t="shared" si="5"/>
        <v>0</v>
      </c>
      <c r="J123" s="31">
        <f>Bilanca!I131</f>
        <v>10601136</v>
      </c>
      <c r="K123" s="31">
        <f>Bilanca!J131</f>
        <v>9558388</v>
      </c>
    </row>
    <row r="124" spans="4:11" ht="12.75">
      <c r="D124" s="4" t="s">
        <v>1521</v>
      </c>
      <c r="E124" s="4">
        <v>1</v>
      </c>
      <c r="F124" s="4">
        <f>Bilanca!G132</f>
        <v>123</v>
      </c>
      <c r="G124" s="4">
        <f>IF(Bilanca!H132=0,"",Bilanca!H132)</f>
      </c>
      <c r="H124" s="30">
        <f t="shared" si="4"/>
        <v>94851673.86</v>
      </c>
      <c r="I124" s="31">
        <f t="shared" si="5"/>
        <v>0</v>
      </c>
      <c r="J124" s="31">
        <f>Bilanca!I132</f>
        <v>26341378</v>
      </c>
      <c r="K124" s="31">
        <f>Bilanca!J132</f>
        <v>25386902</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61362058.75</v>
      </c>
      <c r="I126" s="4">
        <f t="shared" si="5"/>
        <v>0</v>
      </c>
      <c r="J126" s="31">
        <f>RDG!I8</f>
        <v>15007777</v>
      </c>
      <c r="K126" s="31">
        <f>RDG!J8</f>
        <v>17040935</v>
      </c>
    </row>
    <row r="127" spans="4:11" ht="12.75">
      <c r="D127" s="4" t="s">
        <v>541</v>
      </c>
      <c r="E127" s="4">
        <v>2</v>
      </c>
      <c r="F127" s="4">
        <f>RDG!G9</f>
        <v>126</v>
      </c>
      <c r="G127" s="4">
        <f>IF(RDG!H9=0,"",RDG!H9)</f>
      </c>
      <c r="H127" s="30">
        <f t="shared" si="4"/>
        <v>892202.22</v>
      </c>
      <c r="I127" s="4">
        <f t="shared" si="5"/>
        <v>0</v>
      </c>
      <c r="J127" s="31">
        <f>RDG!I9</f>
        <v>279159</v>
      </c>
      <c r="K127" s="31">
        <f>RDG!J9</f>
        <v>214469</v>
      </c>
    </row>
    <row r="128" spans="4:11" ht="12.75">
      <c r="D128" s="4" t="s">
        <v>541</v>
      </c>
      <c r="E128" s="4">
        <v>2</v>
      </c>
      <c r="F128" s="4">
        <f>RDG!G10</f>
        <v>127</v>
      </c>
      <c r="G128" s="4">
        <f>IF(RDG!H10=0,"",RDG!H10)</f>
      </c>
      <c r="H128" s="30">
        <f aca="true" t="shared" si="6" ref="H128:H190">J128/100*F128+2*K128/100*F128</f>
        <v>56330404.230000004</v>
      </c>
      <c r="I128" s="4">
        <f aca="true" t="shared" si="7" ref="I128:I190">ABS(ROUND(J128,0)-J128)+ABS(ROUND(K128,0)-K128)</f>
        <v>0</v>
      </c>
      <c r="J128" s="31">
        <f>RDG!I10</f>
        <v>13883019</v>
      </c>
      <c r="K128" s="31">
        <f>RDG!J10</f>
        <v>15235815</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5234971.3</v>
      </c>
      <c r="I131" s="4">
        <f t="shared" si="7"/>
        <v>0</v>
      </c>
      <c r="J131" s="31">
        <f>RDG!I13</f>
        <v>845599</v>
      </c>
      <c r="K131" s="31">
        <f>RDG!J13</f>
        <v>1590651</v>
      </c>
    </row>
    <row r="132" spans="4:11" ht="12.75">
      <c r="D132" s="4" t="s">
        <v>541</v>
      </c>
      <c r="E132" s="4">
        <v>2</v>
      </c>
      <c r="F132" s="4">
        <f>RDG!G14</f>
        <v>131</v>
      </c>
      <c r="G132" s="4">
        <f>IF(RDG!H14=0,"",RDG!H14)</f>
      </c>
      <c r="H132" s="30">
        <f t="shared" si="6"/>
        <v>64350417.35999999</v>
      </c>
      <c r="I132" s="4">
        <f t="shared" si="7"/>
        <v>0</v>
      </c>
      <c r="J132" s="31">
        <f>RDG!I14</f>
        <v>15056946</v>
      </c>
      <c r="K132" s="31">
        <f>RDG!J14</f>
        <v>17032755</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21092049.720000003</v>
      </c>
      <c r="I134" s="4">
        <f t="shared" si="7"/>
        <v>0</v>
      </c>
      <c r="J134" s="31">
        <f>RDG!I16</f>
        <v>5164148</v>
      </c>
      <c r="K134" s="31">
        <f>RDG!J16</f>
        <v>5347268</v>
      </c>
    </row>
    <row r="135" spans="4:11" ht="12.75">
      <c r="D135" s="4" t="s">
        <v>541</v>
      </c>
      <c r="E135" s="4">
        <v>2</v>
      </c>
      <c r="F135" s="4">
        <f>RDG!G17</f>
        <v>134</v>
      </c>
      <c r="G135" s="4">
        <f>IF(RDG!H17=0,"",RDG!H17)</f>
      </c>
      <c r="H135" s="30">
        <f t="shared" si="6"/>
        <v>8223547.840000001</v>
      </c>
      <c r="I135" s="4">
        <f t="shared" si="7"/>
        <v>0</v>
      </c>
      <c r="J135" s="31">
        <f>RDG!I17</f>
        <v>1931336</v>
      </c>
      <c r="K135" s="31">
        <f>RDG!J17</f>
        <v>2102820</v>
      </c>
    </row>
    <row r="136" spans="4:11" ht="12.75">
      <c r="D136" s="4" t="s">
        <v>541</v>
      </c>
      <c r="E136" s="4">
        <v>2</v>
      </c>
      <c r="F136" s="4">
        <f>RDG!G18</f>
        <v>135</v>
      </c>
      <c r="G136" s="4">
        <f>IF(RDG!H18=0,"",RDG!H18)</f>
      </c>
      <c r="H136" s="30">
        <f t="shared" si="6"/>
        <v>1925723.7000000002</v>
      </c>
      <c r="I136" s="4">
        <f t="shared" si="7"/>
        <v>0</v>
      </c>
      <c r="J136" s="31">
        <f>RDG!I18</f>
        <v>458458</v>
      </c>
      <c r="K136" s="31">
        <f>RDG!J18</f>
        <v>484002</v>
      </c>
    </row>
    <row r="137" spans="4:11" ht="12.75">
      <c r="D137" s="4" t="s">
        <v>541</v>
      </c>
      <c r="E137" s="4">
        <v>2</v>
      </c>
      <c r="F137" s="4">
        <f>RDG!G19</f>
        <v>136</v>
      </c>
      <c r="G137" s="4">
        <f>IF(RDG!H19=0,"",RDG!H19)</f>
      </c>
      <c r="H137" s="30">
        <f t="shared" si="6"/>
        <v>11281534.56</v>
      </c>
      <c r="I137" s="4">
        <f t="shared" si="7"/>
        <v>0</v>
      </c>
      <c r="J137" s="31">
        <f>RDG!I19</f>
        <v>2774354</v>
      </c>
      <c r="K137" s="31">
        <f>RDG!J19</f>
        <v>2760446</v>
      </c>
    </row>
    <row r="138" spans="4:11" ht="12.75">
      <c r="D138" s="4" t="s">
        <v>541</v>
      </c>
      <c r="E138" s="4">
        <v>2</v>
      </c>
      <c r="F138" s="4">
        <f>RDG!G20</f>
        <v>137</v>
      </c>
      <c r="G138" s="4">
        <f>IF(RDG!H20=0,"",RDG!H20)</f>
      </c>
      <c r="H138" s="30">
        <f t="shared" si="6"/>
        <v>26497216.580000002</v>
      </c>
      <c r="I138" s="4">
        <f t="shared" si="7"/>
        <v>0</v>
      </c>
      <c r="J138" s="31">
        <f>RDG!I20</f>
        <v>6202840</v>
      </c>
      <c r="K138" s="31">
        <f>RDG!J20</f>
        <v>6569097</v>
      </c>
    </row>
    <row r="139" spans="4:11" ht="12.75">
      <c r="D139" s="4" t="s">
        <v>541</v>
      </c>
      <c r="E139" s="4">
        <v>2</v>
      </c>
      <c r="F139" s="4">
        <f>RDG!G21</f>
        <v>138</v>
      </c>
      <c r="G139" s="4">
        <f>IF(RDG!H21=0,"",RDG!H21)</f>
      </c>
      <c r="H139" s="30">
        <f t="shared" si="6"/>
        <v>17110455.78</v>
      </c>
      <c r="I139" s="4">
        <f t="shared" si="7"/>
        <v>0</v>
      </c>
      <c r="J139" s="31">
        <f>RDG!I21</f>
        <v>3974587</v>
      </c>
      <c r="K139" s="31">
        <f>RDG!J21</f>
        <v>4212147</v>
      </c>
    </row>
    <row r="140" spans="4:11" ht="12.75">
      <c r="D140" s="4" t="s">
        <v>541</v>
      </c>
      <c r="E140" s="4">
        <v>2</v>
      </c>
      <c r="F140" s="4">
        <f>RDG!G22</f>
        <v>139</v>
      </c>
      <c r="G140" s="4">
        <f>IF(RDG!H22=0,"",RDG!H22)</f>
      </c>
      <c r="H140" s="30">
        <f t="shared" si="6"/>
        <v>5670638.44</v>
      </c>
      <c r="I140" s="4">
        <f t="shared" si="7"/>
        <v>0</v>
      </c>
      <c r="J140" s="31">
        <f>RDG!I22</f>
        <v>1283178</v>
      </c>
      <c r="K140" s="31">
        <f>RDG!J22</f>
        <v>1398209</v>
      </c>
    </row>
    <row r="141" spans="4:11" ht="12.75">
      <c r="D141" s="4" t="s">
        <v>541</v>
      </c>
      <c r="E141" s="4">
        <v>2</v>
      </c>
      <c r="F141" s="4">
        <f>RDG!G23</f>
        <v>140</v>
      </c>
      <c r="G141" s="4">
        <f>IF(RDG!H23=0,"",RDG!H23)</f>
      </c>
      <c r="H141" s="30">
        <f t="shared" si="6"/>
        <v>4007579.8</v>
      </c>
      <c r="I141" s="4">
        <f t="shared" si="7"/>
        <v>0</v>
      </c>
      <c r="J141" s="31">
        <f>RDG!I23</f>
        <v>945075</v>
      </c>
      <c r="K141" s="31">
        <f>RDG!J23</f>
        <v>958741</v>
      </c>
    </row>
    <row r="142" spans="4:11" ht="12.75">
      <c r="D142" s="4" t="s">
        <v>541</v>
      </c>
      <c r="E142" s="4">
        <v>2</v>
      </c>
      <c r="F142" s="4">
        <f>RDG!G24</f>
        <v>141</v>
      </c>
      <c r="G142" s="4">
        <f>IF(RDG!H24=0,"",RDG!H24)</f>
      </c>
      <c r="H142" s="30">
        <f t="shared" si="6"/>
        <v>8272739.31</v>
      </c>
      <c r="I142" s="4">
        <f t="shared" si="7"/>
        <v>0</v>
      </c>
      <c r="J142" s="31">
        <f>RDG!I24</f>
        <v>1420573</v>
      </c>
      <c r="K142" s="31">
        <f>RDG!J24</f>
        <v>2223309</v>
      </c>
    </row>
    <row r="143" spans="4:11" ht="12.75">
      <c r="D143" s="4" t="s">
        <v>541</v>
      </c>
      <c r="E143" s="4">
        <v>2</v>
      </c>
      <c r="F143" s="4">
        <f>RDG!G25</f>
        <v>142</v>
      </c>
      <c r="G143" s="4">
        <f>IF(RDG!H25=0,"",RDG!H25)</f>
      </c>
      <c r="H143" s="30">
        <f t="shared" si="6"/>
        <v>9024295.96</v>
      </c>
      <c r="I143" s="4">
        <f t="shared" si="7"/>
        <v>0</v>
      </c>
      <c r="J143" s="31">
        <f>RDG!I25</f>
        <v>1814350</v>
      </c>
      <c r="K143" s="31">
        <f>RDG!J25</f>
        <v>2270394</v>
      </c>
    </row>
    <row r="144" spans="4:11" ht="12.75">
      <c r="D144" s="4" t="s">
        <v>541</v>
      </c>
      <c r="E144" s="4">
        <v>2</v>
      </c>
      <c r="F144" s="4">
        <f>RDG!G26</f>
        <v>143</v>
      </c>
      <c r="G144" s="4">
        <f>IF(RDG!H26=0,"",RDG!H26)</f>
      </c>
      <c r="H144" s="30">
        <f t="shared" si="6"/>
        <v>2136937.6599999997</v>
      </c>
      <c r="I144" s="4">
        <f t="shared" si="7"/>
        <v>0</v>
      </c>
      <c r="J144" s="31">
        <f>RDG!I26</f>
        <v>379974</v>
      </c>
      <c r="K144" s="31">
        <f>RDG!J26</f>
        <v>557194</v>
      </c>
    </row>
    <row r="145" spans="4:11" ht="12.75">
      <c r="D145" s="4" t="s">
        <v>541</v>
      </c>
      <c r="E145" s="4">
        <v>2</v>
      </c>
      <c r="F145" s="4">
        <f>RDG!G27</f>
        <v>144</v>
      </c>
      <c r="G145" s="4">
        <f>IF(RDG!H27=0,"",RDG!H27)</f>
      </c>
      <c r="H145" s="30">
        <f t="shared" si="6"/>
        <v>2151881.28</v>
      </c>
      <c r="I145" s="4">
        <f t="shared" si="7"/>
        <v>0</v>
      </c>
      <c r="J145" s="31">
        <f>RDG!I27</f>
        <v>379974</v>
      </c>
      <c r="K145" s="31">
        <f>RDG!J27</f>
        <v>557194</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315251.91</v>
      </c>
      <c r="I154" s="4">
        <f t="shared" si="7"/>
        <v>0</v>
      </c>
      <c r="J154" s="31">
        <f>RDG!I36</f>
        <v>75061</v>
      </c>
      <c r="K154" s="31">
        <f>RDG!J36</f>
        <v>65493</v>
      </c>
    </row>
    <row r="155" spans="4:11" ht="12.75">
      <c r="D155" s="4" t="s">
        <v>541</v>
      </c>
      <c r="E155" s="4">
        <v>2</v>
      </c>
      <c r="F155" s="4">
        <f>RDG!G37</f>
        <v>154</v>
      </c>
      <c r="G155" s="4">
        <f>IF(RDG!H37=0,"",RDG!H37)</f>
      </c>
      <c r="H155" s="30">
        <f t="shared" si="6"/>
        <v>537399.94</v>
      </c>
      <c r="I155" s="4">
        <f t="shared" si="7"/>
        <v>0</v>
      </c>
      <c r="J155" s="31">
        <f>RDG!I37</f>
        <v>133453</v>
      </c>
      <c r="K155" s="31">
        <f>RDG!J37</f>
        <v>107754</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5318.28</v>
      </c>
      <c r="I159" s="4">
        <f t="shared" si="7"/>
        <v>0</v>
      </c>
      <c r="J159" s="31">
        <f>RDG!I41</f>
        <v>3366</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556388.63</v>
      </c>
      <c r="I162" s="4">
        <f t="shared" si="7"/>
        <v>0</v>
      </c>
      <c r="J162" s="31">
        <f>RDG!I44</f>
        <v>130087</v>
      </c>
      <c r="K162" s="31">
        <f>RDG!J44</f>
        <v>107748</v>
      </c>
    </row>
    <row r="163" spans="4:11" ht="12.75">
      <c r="D163" s="4" t="s">
        <v>541</v>
      </c>
      <c r="E163" s="4">
        <v>2</v>
      </c>
      <c r="F163" s="4">
        <f>RDG!G45</f>
        <v>162</v>
      </c>
      <c r="G163" s="4">
        <f>IF(RDG!H45=0,"",RDG!H45)</f>
      </c>
      <c r="H163" s="30">
        <f t="shared" si="6"/>
        <v>19.439999999999998</v>
      </c>
      <c r="I163" s="4">
        <f t="shared" si="7"/>
        <v>0</v>
      </c>
      <c r="J163" s="31">
        <f>RDG!I45</f>
        <v>0</v>
      </c>
      <c r="K163" s="31">
        <f>RDG!J45</f>
        <v>6</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1100.5500000000002</v>
      </c>
      <c r="I166" s="4">
        <f t="shared" si="7"/>
        <v>0</v>
      </c>
      <c r="J166" s="31">
        <f>RDG!I48</f>
        <v>159</v>
      </c>
      <c r="K166" s="31">
        <f>RDG!J48</f>
        <v>254</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1083.6000000000001</v>
      </c>
      <c r="I169" s="4">
        <f t="shared" si="7"/>
        <v>0</v>
      </c>
      <c r="J169" s="31">
        <f>RDG!I51</f>
        <v>137</v>
      </c>
      <c r="K169" s="31">
        <f>RDG!J51</f>
        <v>254</v>
      </c>
    </row>
    <row r="170" spans="4:11" ht="12.75">
      <c r="D170" s="4" t="s">
        <v>541</v>
      </c>
      <c r="E170" s="4">
        <v>2</v>
      </c>
      <c r="F170" s="4">
        <f>RDG!G52</f>
        <v>169</v>
      </c>
      <c r="G170" s="4">
        <f>IF(RDG!H52=0,"",RDG!H52)</f>
      </c>
      <c r="H170" s="30">
        <f t="shared" si="6"/>
        <v>37.18</v>
      </c>
      <c r="I170" s="4">
        <f t="shared" si="7"/>
        <v>0</v>
      </c>
      <c r="J170" s="31">
        <f>RDG!I52</f>
        <v>22</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87506336.16</v>
      </c>
      <c r="I178" s="4">
        <f t="shared" si="7"/>
        <v>0</v>
      </c>
      <c r="J178" s="31">
        <f>RDG!I60</f>
        <v>15141230</v>
      </c>
      <c r="K178" s="31">
        <f>RDG!J60</f>
        <v>17148689</v>
      </c>
    </row>
    <row r="179" spans="4:11" ht="12.75">
      <c r="D179" s="4" t="s">
        <v>541</v>
      </c>
      <c r="E179" s="4">
        <v>2</v>
      </c>
      <c r="F179" s="4">
        <f>RDG!G61</f>
        <v>178</v>
      </c>
      <c r="G179" s="4">
        <f>IF(RDG!H61=0,"",RDG!H61)</f>
      </c>
      <c r="H179" s="30">
        <f t="shared" si="6"/>
        <v>87439158.94</v>
      </c>
      <c r="I179" s="4">
        <f t="shared" si="7"/>
        <v>0</v>
      </c>
      <c r="J179" s="31">
        <f>RDG!I61</f>
        <v>15057105</v>
      </c>
      <c r="K179" s="31">
        <f>RDG!J61</f>
        <v>17033009</v>
      </c>
    </row>
    <row r="180" spans="4:11" ht="12.75">
      <c r="D180" s="4" t="s">
        <v>541</v>
      </c>
      <c r="E180" s="4">
        <v>2</v>
      </c>
      <c r="F180" s="4">
        <f>RDG!G62</f>
        <v>179</v>
      </c>
      <c r="G180" s="4">
        <f>IF(RDG!H62=0,"",RDG!H62)</f>
      </c>
      <c r="H180" s="30">
        <f t="shared" si="6"/>
        <v>564718.1499999999</v>
      </c>
      <c r="I180" s="4">
        <f t="shared" si="7"/>
        <v>0</v>
      </c>
      <c r="J180" s="31">
        <f>RDG!I62</f>
        <v>84125</v>
      </c>
      <c r="K180" s="31">
        <f>RDG!J62</f>
        <v>115680</v>
      </c>
    </row>
    <row r="181" spans="4:11" ht="12.75">
      <c r="D181" s="4" t="s">
        <v>541</v>
      </c>
      <c r="E181" s="4">
        <v>2</v>
      </c>
      <c r="F181" s="4">
        <f>RDG!G63</f>
        <v>180</v>
      </c>
      <c r="G181" s="4">
        <f>IF(RDG!H63=0,"",RDG!H63)</f>
      </c>
      <c r="H181" s="30">
        <f t="shared" si="6"/>
        <v>567873</v>
      </c>
      <c r="I181" s="4">
        <f t="shared" si="7"/>
        <v>0</v>
      </c>
      <c r="J181" s="31">
        <f>RDG!I63</f>
        <v>84125</v>
      </c>
      <c r="K181" s="31">
        <f>RDG!J63</f>
        <v>115680</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208187.97999999998</v>
      </c>
      <c r="I183" s="4">
        <f t="shared" si="7"/>
        <v>0</v>
      </c>
      <c r="J183" s="31">
        <f>RDG!I65</f>
        <v>37271</v>
      </c>
      <c r="K183" s="31">
        <f>RDG!J65</f>
        <v>38559</v>
      </c>
    </row>
    <row r="184" spans="4:11" ht="12.75">
      <c r="D184" s="4" t="s">
        <v>541</v>
      </c>
      <c r="E184" s="4">
        <v>2</v>
      </c>
      <c r="F184" s="4">
        <f>RDG!G66</f>
        <v>183</v>
      </c>
      <c r="G184" s="4">
        <f>IF(RDG!H66=0,"",RDG!H66)</f>
      </c>
      <c r="H184" s="30">
        <f t="shared" si="6"/>
        <v>368005.68</v>
      </c>
      <c r="I184" s="4">
        <f t="shared" si="7"/>
        <v>0</v>
      </c>
      <c r="J184" s="31">
        <f>RDG!I66</f>
        <v>46854</v>
      </c>
      <c r="K184" s="31">
        <f>RDG!J66</f>
        <v>77121</v>
      </c>
    </row>
    <row r="185" spans="4:11" ht="12.75">
      <c r="D185" s="4" t="s">
        <v>541</v>
      </c>
      <c r="E185" s="4">
        <v>2</v>
      </c>
      <c r="F185" s="4">
        <f>RDG!G67</f>
        <v>184</v>
      </c>
      <c r="G185" s="4">
        <f>IF(RDG!H67=0,"",RDG!H67)</f>
      </c>
      <c r="H185" s="30">
        <f t="shared" si="6"/>
        <v>370016.64</v>
      </c>
      <c r="I185" s="4">
        <f t="shared" si="7"/>
        <v>0</v>
      </c>
      <c r="J185" s="31">
        <f>RDG!I67</f>
        <v>46854</v>
      </c>
      <c r="K185" s="31">
        <f>RDG!J67</f>
        <v>77121</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106" activePane="bottomLeft" state="frozen"/>
      <selection pane="topLeft" activeCell="A2" sqref="A2"/>
      <selection pane="bottomLeft" activeCell="C2" sqref="C2"/>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2354</v>
      </c>
      <c r="W2" s="231" t="str">
        <f>RefStr!C29</f>
        <v>IVKOM DD</v>
      </c>
      <c r="X2" s="209" t="s">
        <v>207</v>
      </c>
      <c r="Y2" s="231">
        <f>IF(RefStr!C54&lt;&gt;"",RefStr!C54,"")</f>
        <v>100</v>
      </c>
      <c r="Z2" s="209" t="s">
        <v>2326</v>
      </c>
      <c r="AA2" s="231">
        <f>IF(RefStr!B64="","",RefStr!B64)</f>
      </c>
    </row>
    <row r="3" spans="1:27" ht="13.5" customHeight="1">
      <c r="A3" s="494" t="s">
        <v>2472</v>
      </c>
      <c r="B3" s="495"/>
      <c r="C3" s="495"/>
      <c r="D3" s="495"/>
      <c r="E3" s="495"/>
      <c r="F3" s="495"/>
      <c r="G3" s="495"/>
      <c r="H3" s="495"/>
      <c r="I3" s="502"/>
      <c r="J3" s="503"/>
      <c r="L3" s="145"/>
      <c r="M3" s="145"/>
      <c r="N3" s="208" t="s">
        <v>541</v>
      </c>
      <c r="O3" s="211">
        <f>RDG!Q1</f>
        <v>1</v>
      </c>
      <c r="P3" s="212">
        <f>RDG!Q2</f>
        <v>1</v>
      </c>
      <c r="Q3" s="232">
        <f>RDG!Q3</f>
        <v>1</v>
      </c>
      <c r="R3" s="211" t="s">
        <v>1824</v>
      </c>
      <c r="S3" s="232">
        <f>IF(RefStr!C50&lt;&gt;"",IF(ISERROR(INT(RefStr!C50)),0,RefStr!C50),0)</f>
        <v>2</v>
      </c>
      <c r="T3" s="211" t="s">
        <v>777</v>
      </c>
      <c r="U3" s="232" t="str">
        <f>RefStr!L21</f>
        <v>41748200389</v>
      </c>
      <c r="V3" s="211" t="s">
        <v>2355</v>
      </c>
      <c r="W3" s="232">
        <f>RefStr!C31</f>
        <v>42240</v>
      </c>
      <c r="X3" s="211" t="s">
        <v>208</v>
      </c>
      <c r="Y3" s="232">
        <f>IF(RefStr!F54&lt;&gt;"",RefStr!F54,"")</f>
        <v>0</v>
      </c>
      <c r="Z3" s="211" t="s">
        <v>2327</v>
      </c>
      <c r="AA3" s="232">
        <f>IF(RefStr!B66="","",RefStr!B66)</f>
      </c>
    </row>
    <row r="4" spans="1:27" ht="13.5" customHeight="1">
      <c r="A4" s="496"/>
      <c r="B4" s="497"/>
      <c r="C4" s="497"/>
      <c r="D4" s="497"/>
      <c r="E4" s="497"/>
      <c r="F4" s="497"/>
      <c r="G4" s="497"/>
      <c r="H4" s="497"/>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2718</v>
      </c>
      <c r="U4" s="232" t="str">
        <f>RefStr!C27</f>
        <v>31407797858</v>
      </c>
      <c r="V4" s="211" t="s">
        <v>2356</v>
      </c>
      <c r="W4" s="232" t="str">
        <f>RefStr!F31</f>
        <v>IVANEC</v>
      </c>
      <c r="X4" s="234" t="s">
        <v>222</v>
      </c>
      <c r="Y4" s="235" t="str">
        <f>RefStr!I68</f>
        <v>DA</v>
      </c>
      <c r="Z4" s="211" t="s">
        <v>2570</v>
      </c>
      <c r="AA4" s="232" t="str">
        <f>RefStr!N19</f>
        <v>HSFI</v>
      </c>
    </row>
    <row r="5" spans="1:27" ht="13.5" customHeight="1">
      <c r="A5" s="496"/>
      <c r="B5" s="497"/>
      <c r="C5" s="497"/>
      <c r="D5" s="497"/>
      <c r="E5" s="497"/>
      <c r="F5" s="497"/>
      <c r="G5" s="497"/>
      <c r="H5" s="497"/>
      <c r="I5" s="504"/>
      <c r="J5" s="505"/>
      <c r="L5" s="3"/>
      <c r="M5" s="3"/>
      <c r="N5" s="208" t="s">
        <v>1523</v>
      </c>
      <c r="O5" s="211">
        <f>NT_I!Q1</f>
        <v>0</v>
      </c>
      <c r="P5" s="212">
        <f>NT_I!Q2</f>
        <v>0</v>
      </c>
      <c r="Q5" s="232">
        <f>NT_I!Q3</f>
        <v>0</v>
      </c>
      <c r="R5" s="211" t="s">
        <v>1197</v>
      </c>
      <c r="S5" s="232">
        <f>IF(RefStr!C19&lt;&gt;"",IF(ISERROR(INT(RefStr!C19)),0,RefStr!C19),0)</f>
        <v>2</v>
      </c>
      <c r="T5" s="211" t="s">
        <v>2352</v>
      </c>
      <c r="U5" s="232" t="str">
        <f>RefStr!H27</f>
        <v>03136906</v>
      </c>
      <c r="V5" s="211" t="s">
        <v>2357</v>
      </c>
      <c r="W5" s="232" t="str">
        <f>RefStr!C33</f>
        <v>V. NAZORA 96B</v>
      </c>
      <c r="X5" s="234" t="s">
        <v>2517</v>
      </c>
      <c r="Y5" s="235" t="str">
        <f>RefStr!I62</f>
        <v>DA</v>
      </c>
      <c r="Z5" s="211" t="s">
        <v>691</v>
      </c>
      <c r="AA5" s="232">
        <f>RefStr!M46</f>
        <v>0</v>
      </c>
    </row>
    <row r="6" spans="1:27" ht="13.5" customHeight="1">
      <c r="A6" s="496"/>
      <c r="B6" s="497"/>
      <c r="C6" s="497"/>
      <c r="D6" s="497"/>
      <c r="E6" s="497"/>
      <c r="F6" s="497"/>
      <c r="G6" s="497"/>
      <c r="H6" s="497"/>
      <c r="I6" s="504"/>
      <c r="J6" s="505"/>
      <c r="L6" s="3"/>
      <c r="M6" s="3"/>
      <c r="N6" s="208" t="s">
        <v>1524</v>
      </c>
      <c r="O6" s="211">
        <f>NT_D!Q1</f>
        <v>0</v>
      </c>
      <c r="P6" s="212">
        <f>NT_D!Q2</f>
        <v>0</v>
      </c>
      <c r="Q6" s="232">
        <f>NT_D!Q3</f>
        <v>0</v>
      </c>
      <c r="R6" s="211" t="s">
        <v>1195</v>
      </c>
      <c r="S6" s="232" t="str">
        <f>RefStr!C21</f>
        <v>NE</v>
      </c>
      <c r="T6" s="211" t="s">
        <v>2353</v>
      </c>
      <c r="U6" s="232" t="str">
        <f>RefStr!M27</f>
        <v>070000553</v>
      </c>
      <c r="V6" s="211" t="s">
        <v>2568</v>
      </c>
      <c r="W6" s="232" t="str">
        <f>RefStr!L35</f>
        <v>042/770-550</v>
      </c>
      <c r="X6" s="211" t="s">
        <v>2514</v>
      </c>
      <c r="Y6" s="232" t="str">
        <f>RefStr!C68</f>
        <v>Brankica Kušen</v>
      </c>
      <c r="Z6" s="211" t="s">
        <v>1415</v>
      </c>
      <c r="AA6" s="232">
        <f>RefStr!C46</f>
        <v>0</v>
      </c>
    </row>
    <row r="7" spans="1:27" ht="13.5" customHeight="1">
      <c r="A7" s="496"/>
      <c r="B7" s="497"/>
      <c r="C7" s="497"/>
      <c r="D7" s="497"/>
      <c r="E7" s="497"/>
      <c r="F7" s="497"/>
      <c r="G7" s="497"/>
      <c r="H7" s="497"/>
      <c r="I7" s="222" t="s">
        <v>16</v>
      </c>
      <c r="J7" s="224">
        <f>SUM(M12:M120)</f>
        <v>0</v>
      </c>
      <c r="N7" s="208" t="s">
        <v>542</v>
      </c>
      <c r="O7" s="211">
        <f>PK!AA1</f>
        <v>0</v>
      </c>
      <c r="P7" s="212">
        <f>PK!AA2</f>
        <v>0</v>
      </c>
      <c r="Q7" s="232">
        <f>PK!AA3</f>
        <v>0</v>
      </c>
      <c r="R7" s="211" t="s">
        <v>2569</v>
      </c>
      <c r="S7" s="232">
        <f>IF(RefStr!C44&lt;&gt;"",IF(ISERROR(INT(RefStr!C44)),0,RefStr!C44),0)</f>
        <v>7</v>
      </c>
      <c r="T7" s="211" t="s">
        <v>1862</v>
      </c>
      <c r="U7" s="232">
        <f>RefStr!C7</f>
        <v>4</v>
      </c>
      <c r="V7" s="211" t="s">
        <v>1193</v>
      </c>
      <c r="W7" s="232" t="str">
        <f>TRIM(UPPER(RefStr!C35))</f>
        <v>IVKOM@IVKOM.HR</v>
      </c>
      <c r="X7" s="211" t="s">
        <v>2515</v>
      </c>
      <c r="Y7" s="232" t="str">
        <f>RefStr!C70</f>
        <v>042770573</v>
      </c>
      <c r="Z7" s="211" t="s">
        <v>1416</v>
      </c>
      <c r="AA7" s="232">
        <f>RefStr!D46</f>
      </c>
    </row>
    <row r="8" spans="1:27" ht="13.5" customHeight="1">
      <c r="A8" s="498"/>
      <c r="B8" s="499"/>
      <c r="C8" s="499"/>
      <c r="D8" s="499"/>
      <c r="E8" s="499"/>
      <c r="F8" s="499"/>
      <c r="G8" s="499"/>
      <c r="H8" s="499"/>
      <c r="I8" s="500"/>
      <c r="J8" s="501"/>
      <c r="L8" s="195"/>
      <c r="M8" s="195"/>
      <c r="N8" s="230" t="s">
        <v>615</v>
      </c>
      <c r="O8" s="213" t="str">
        <f>IF(RefStr!N6="NE","DA",IF(RefStr!N6="DA","NE",RefStr!N6))</f>
        <v>NE</v>
      </c>
      <c r="P8" s="214">
        <f>RefStr!C60</f>
        <v>12</v>
      </c>
      <c r="Q8" s="233">
        <f>RefStr!F60</f>
        <v>12</v>
      </c>
      <c r="R8" s="211" t="s">
        <v>1859</v>
      </c>
      <c r="S8" s="232">
        <f>IF(RefStr!C4&lt;&gt;"",RefStr!C4,0)</f>
        <v>43466</v>
      </c>
      <c r="T8" s="211" t="s">
        <v>1861</v>
      </c>
      <c r="U8" s="232" t="str">
        <f>RefStr!D7</f>
        <v>Dioničko društvo</v>
      </c>
      <c r="V8" s="211" t="s">
        <v>2574</v>
      </c>
      <c r="W8" s="232" t="str">
        <f>RefStr!C42</f>
        <v>3811</v>
      </c>
      <c r="X8" s="211" t="s">
        <v>2516</v>
      </c>
      <c r="Y8" s="232" t="str">
        <f>TRIM(UPPER(RefStr!C72))</f>
        <v>BRANKICA@IVKOM.HR</v>
      </c>
      <c r="Z8" s="236" t="s">
        <v>218</v>
      </c>
      <c r="AA8" s="237" t="str">
        <f>RefStr!I56</f>
        <v>DA</v>
      </c>
    </row>
    <row r="9" spans="1:27" ht="13.5" customHeight="1">
      <c r="A9" s="506" t="s">
        <v>566</v>
      </c>
      <c r="B9" s="506"/>
      <c r="C9" s="506" t="s">
        <v>727</v>
      </c>
      <c r="D9" s="506"/>
      <c r="E9" s="506"/>
      <c r="F9" s="506"/>
      <c r="G9" s="506"/>
      <c r="H9" s="506"/>
      <c r="I9" s="506"/>
      <c r="J9" s="506"/>
      <c r="L9" s="195"/>
      <c r="M9" s="195"/>
      <c r="O9" s="230" t="s">
        <v>614</v>
      </c>
      <c r="P9" s="209">
        <f>RefStr!C58</f>
        <v>67</v>
      </c>
      <c r="Q9" s="231">
        <f>RefStr!F58</f>
        <v>69</v>
      </c>
      <c r="R9" s="211" t="s">
        <v>1860</v>
      </c>
      <c r="S9" s="232">
        <f>IF(RefStr!F4&lt;&gt;"",RefStr!F4,0)</f>
        <v>43830</v>
      </c>
      <c r="T9" s="211" t="s">
        <v>1821</v>
      </c>
      <c r="U9" s="232">
        <f>RefStr!C39</f>
        <v>156</v>
      </c>
      <c r="V9" s="211" t="s">
        <v>1414</v>
      </c>
      <c r="W9" s="232" t="str">
        <f>RefStr!D42</f>
        <v>Skupljanje neopasnog otpada</v>
      </c>
      <c r="X9" s="238" t="s">
        <v>221</v>
      </c>
      <c r="Y9" s="239" t="str">
        <f>RefStr!I66</f>
        <v>DA</v>
      </c>
      <c r="Z9" s="236" t="s">
        <v>219</v>
      </c>
      <c r="AA9" s="237" t="str">
        <f>RefStr!I64</f>
        <v>NE</v>
      </c>
    </row>
    <row r="10" spans="1:27" ht="13.5" customHeight="1">
      <c r="A10" s="507"/>
      <c r="B10" s="507"/>
      <c r="C10" s="507"/>
      <c r="D10" s="507"/>
      <c r="E10" s="507"/>
      <c r="F10" s="507"/>
      <c r="G10" s="507"/>
      <c r="H10" s="507"/>
      <c r="I10" s="507"/>
      <c r="J10" s="507"/>
      <c r="L10" s="195"/>
      <c r="M10" s="195"/>
      <c r="O10" s="230" t="s">
        <v>2123</v>
      </c>
      <c r="P10" s="213">
        <f>RefStr!C56</f>
        <v>77</v>
      </c>
      <c r="Q10" s="233">
        <f>RefStr!F56</f>
        <v>78</v>
      </c>
      <c r="R10" s="213" t="s">
        <v>1863</v>
      </c>
      <c r="S10" s="233">
        <f>RefStr!C23</f>
        <v>1</v>
      </c>
      <c r="T10" s="213" t="s">
        <v>2573</v>
      </c>
      <c r="U10" s="233" t="str">
        <f>RefStr!D39</f>
        <v>Ivanec</v>
      </c>
      <c r="V10" s="240"/>
      <c r="W10" s="241"/>
      <c r="X10" s="242" t="s">
        <v>1974</v>
      </c>
      <c r="Y10" s="243">
        <f>RefStr!F12</f>
        <v>2019</v>
      </c>
      <c r="Z10" s="213" t="s">
        <v>209</v>
      </c>
      <c r="AA10" s="233" t="str">
        <f>RefStr!A75</f>
        <v>Rajh Edo</v>
      </c>
    </row>
    <row r="11" spans="1:25" ht="13.5" customHeight="1">
      <c r="A11" s="487" t="s">
        <v>642</v>
      </c>
      <c r="B11" s="488"/>
      <c r="C11" s="488"/>
      <c r="D11" s="488"/>
      <c r="E11" s="488"/>
      <c r="F11" s="488"/>
      <c r="G11" s="488"/>
      <c r="H11" s="488"/>
      <c r="I11" s="488"/>
      <c r="J11" s="489"/>
      <c r="L11" s="195"/>
      <c r="M11" s="195"/>
      <c r="N11" s="208"/>
      <c r="O11" s="215"/>
      <c r="P11" s="215"/>
      <c r="Q11" s="215"/>
      <c r="X11" s="3"/>
      <c r="Y11" s="3"/>
    </row>
    <row r="12" spans="1:15" ht="19.5" customHeight="1">
      <c r="A12" s="219">
        <v>1</v>
      </c>
      <c r="B12" s="221" t="str">
        <f aca="true" t="shared" si="0" ref="B12:B41">IF(L12=1,"Pogreška",IF(M12=1,"Provjera","OK"))</f>
        <v>OK</v>
      </c>
      <c r="C12" s="490" t="s">
        <v>616</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2571</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641</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2532</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1653</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315</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2531</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113</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2564</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2565</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2566</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2567</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2572</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2132</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1417</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2128</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2133</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2129</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174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2134</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2135</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2533</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1418</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2136</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2137</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206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2512</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1502</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2328</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2329</v>
      </c>
      <c r="D41" s="490"/>
      <c r="E41" s="490"/>
      <c r="F41" s="490"/>
      <c r="G41" s="490"/>
      <c r="H41" s="490"/>
      <c r="I41" s="490"/>
      <c r="J41" s="490"/>
      <c r="L41" s="195">
        <f aca="true" t="shared" si="5" ref="L41:L49">MAX(N41:R41)</f>
        <v>0</v>
      </c>
      <c r="M41" s="195"/>
      <c r="N41" s="195">
        <f>IF(LEN(AA10)&lt;5,1,0)</f>
        <v>0</v>
      </c>
      <c r="O41" s="195"/>
    </row>
    <row r="42" spans="1:16" ht="19.5" customHeight="1">
      <c r="A42" s="491" t="s">
        <v>516</v>
      </c>
      <c r="B42" s="492"/>
      <c r="C42" s="492"/>
      <c r="D42" s="492"/>
      <c r="E42" s="492"/>
      <c r="F42" s="492"/>
      <c r="G42" s="492"/>
      <c r="H42" s="492"/>
      <c r="I42" s="492"/>
      <c r="J42" s="493"/>
      <c r="L42" s="195">
        <f t="shared" si="5"/>
        <v>0</v>
      </c>
      <c r="M42" s="195"/>
      <c r="N42" s="195"/>
      <c r="O42" s="195"/>
      <c r="P42" s="195"/>
    </row>
    <row r="43" spans="1:17" ht="30" customHeight="1">
      <c r="A43" s="219">
        <f>A41+1</f>
        <v>31</v>
      </c>
      <c r="B43" s="221" t="str">
        <f>IF(L43=1,"Pogreška",IF(M43=1,"Provjera","OK"))</f>
        <v>OK</v>
      </c>
      <c r="C43" s="490" t="s">
        <v>755</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1029</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1969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728</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729</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1970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2127</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90"/>
      <c r="E50" s="490"/>
      <c r="F50" s="490"/>
      <c r="G50" s="490"/>
      <c r="H50" s="490"/>
      <c r="I50" s="490"/>
      <c r="J50" s="490"/>
      <c r="L50" s="195">
        <f>IF(N50&lt;&gt;S3,1,0)</f>
        <v>0</v>
      </c>
      <c r="M50" s="195"/>
      <c r="N50" s="195">
        <f>IF(P8&gt;0,O50,AC50)</f>
        <v>2</v>
      </c>
      <c r="O50" s="199">
        <f>IF(SUM(Y50:AA50)&gt;1,4,IF(SUM(U50:W50)&gt;1,3,IF(SUM(Q50:S50)&gt;1,2,IF(S6="DA",2,1))))</f>
        <v>2</v>
      </c>
      <c r="P50" s="202" t="s">
        <v>2666</v>
      </c>
      <c r="Q50" s="202">
        <f>IF(Bilanca!I73&gt;2600000,1,0)</f>
        <v>1</v>
      </c>
      <c r="R50" s="201">
        <f>IF(RDG!I60&gt;5200000,1,0)</f>
        <v>1</v>
      </c>
      <c r="S50" s="201">
        <f>IF(P10&gt;10,1,0)</f>
        <v>1</v>
      </c>
      <c r="T50" s="201" t="s">
        <v>1948</v>
      </c>
      <c r="U50" s="201">
        <f>IF(Bilanca!I73&gt;30000000,1,0)</f>
        <v>0</v>
      </c>
      <c r="V50" s="201">
        <f>IF(RDG!I60&gt;60000000,1,0)</f>
        <v>0</v>
      </c>
      <c r="W50" s="201">
        <f>IF(P10&gt;50,1,0)</f>
        <v>1</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1</v>
      </c>
      <c r="AH50" s="201" t="s">
        <v>1948</v>
      </c>
      <c r="AI50" s="201">
        <f>IF(Bilanca!J73&gt;30000000,1,0)</f>
        <v>0</v>
      </c>
      <c r="AJ50" s="201">
        <f>IF(S9&gt;S8,IF(RDG!J60*365/(S9-S8)&gt;60000000,1,0),0)</f>
        <v>0</v>
      </c>
      <c r="AK50" s="201">
        <f>IF(Q10&gt;50,1,0)</f>
        <v>1</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90" t="s">
        <v>1649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1650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0</v>
      </c>
      <c r="AC52" s="225">
        <f>IF(P10&gt;25,1,0)</f>
        <v>1</v>
      </c>
    </row>
    <row r="53" spans="1:15" ht="30" customHeight="1">
      <c r="A53" s="219">
        <f t="shared" si="6"/>
        <v>41</v>
      </c>
      <c r="B53" s="221" t="str">
        <f t="shared" si="7"/>
        <v>OK</v>
      </c>
      <c r="C53" s="490" t="s">
        <v>1129</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2896</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2897</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2539</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823</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1030</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1456</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1457</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1458</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1459</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438</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439</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440</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1130</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220</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90" t="s">
        <v>756</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1460</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818</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90" t="s">
        <v>331</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115</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0" t="s">
        <v>332</v>
      </c>
      <c r="D76" s="490"/>
      <c r="E76" s="490"/>
      <c r="F76" s="490"/>
      <c r="G76" s="490"/>
      <c r="H76" s="490"/>
      <c r="I76" s="490"/>
      <c r="J76" s="490"/>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0" t="s">
        <v>116</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117</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118</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119</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120</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121</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122</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123</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175</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124</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126</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127</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128</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1652</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0" t="s">
        <v>2534</v>
      </c>
      <c r="D91" s="490"/>
      <c r="E91" s="490"/>
      <c r="F91" s="490"/>
      <c r="G91" s="490"/>
      <c r="H91" s="490"/>
      <c r="I91" s="490"/>
      <c r="J91" s="490"/>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90" t="s">
        <v>2535</v>
      </c>
      <c r="D92" s="490"/>
      <c r="E92" s="490"/>
      <c r="F92" s="490"/>
      <c r="G92" s="490"/>
      <c r="H92" s="490"/>
      <c r="I92" s="490"/>
      <c r="J92" s="490"/>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90" t="s">
        <v>2536</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2537</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2538</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OK</v>
      </c>
      <c r="C96" s="490" t="s">
        <v>757</v>
      </c>
      <c r="D96" s="490"/>
      <c r="E96" s="490"/>
      <c r="F96" s="490"/>
      <c r="G96" s="490"/>
      <c r="H96" s="490"/>
      <c r="I96" s="490"/>
      <c r="J96" s="490"/>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0" t="s">
        <v>2122</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90" t="s">
        <v>758</v>
      </c>
      <c r="D98" s="490"/>
      <c r="E98" s="490"/>
      <c r="F98" s="490"/>
      <c r="G98" s="490"/>
      <c r="H98" s="490"/>
      <c r="I98" s="490"/>
      <c r="J98" s="490"/>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90" t="s">
        <v>2124</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2125</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0" t="s">
        <v>2126</v>
      </c>
      <c r="D101" s="490"/>
      <c r="E101" s="490"/>
      <c r="F101" s="490"/>
      <c r="G101" s="490"/>
      <c r="H101" s="490"/>
      <c r="I101" s="490"/>
      <c r="J101" s="490"/>
      <c r="L101" s="195">
        <v>0</v>
      </c>
      <c r="M101" s="195">
        <f t="shared" si="16"/>
        <v>0</v>
      </c>
      <c r="N101" s="195">
        <f>IF(AND(OR(S7=2,S7=3,S7=5,S7=6,S7=7),MIN(RDG!I9:J9,RDG!I12:J12)=0),1,0)</f>
        <v>0</v>
      </c>
      <c r="O101" s="195"/>
      <c r="P101" s="195"/>
    </row>
    <row r="102" spans="1:23" ht="30" customHeight="1">
      <c r="A102" s="219">
        <f t="shared" si="13"/>
        <v>89</v>
      </c>
      <c r="B102" s="221" t="str">
        <f t="shared" si="17"/>
        <v>OK</v>
      </c>
      <c r="C102" s="490" t="s">
        <v>821</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822</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819</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820</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1131</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90" t="s">
        <v>1032</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2906</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2012</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2013</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2014</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2015</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2907</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2243</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534</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1451</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90" t="s">
        <v>0</v>
      </c>
      <c r="D118" s="490"/>
      <c r="E118" s="490"/>
      <c r="F118" s="490"/>
      <c r="G118" s="490"/>
      <c r="H118" s="490"/>
      <c r="I118" s="490"/>
      <c r="J118" s="490"/>
      <c r="L118" s="200">
        <f>MAX(N118:N118)</f>
        <v>0</v>
      </c>
      <c r="M118" s="200"/>
      <c r="N118" s="200">
        <f>IF(ISERROR(P118),0,1)</f>
        <v>0</v>
      </c>
      <c r="O118" s="195" t="str">
        <f ca="1">CELL("filename")</f>
        <v>\\VEPISSERVER\Company\IVKOM D.D. IVANEC\2019. - IVKOM D.D\RACUNOVODSTVO\BRANKICA\ZAVRŠNI\javna objava\Ivkom\[GFI-POD - Ivkom 2019..xls]RDG</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1128</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1452</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12:J12"/>
    <mergeCell ref="C46:J46"/>
    <mergeCell ref="C47:J4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5" activePane="bottomLeft" state="frozen"/>
      <selection pane="topLeft" activeCell="A1" sqref="A1"/>
      <selection pane="bottomLeft" activeCell="D1" sqref="D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2019</v>
      </c>
    </row>
    <row r="2" spans="1:17" s="148" customFormat="1" ht="60" customHeight="1">
      <c r="A2" s="292" t="s">
        <v>1057</v>
      </c>
      <c r="B2" s="293"/>
      <c r="C2" s="293"/>
      <c r="D2" s="293"/>
      <c r="E2" s="293"/>
      <c r="F2" s="293"/>
      <c r="G2" s="293"/>
      <c r="H2" s="293"/>
      <c r="I2" s="293"/>
      <c r="J2" s="293"/>
      <c r="K2" s="293"/>
      <c r="L2" s="293"/>
      <c r="M2" s="293"/>
      <c r="N2" s="294"/>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43466</v>
      </c>
      <c r="D4" s="288"/>
      <c r="E4" s="10" t="s">
        <v>1527</v>
      </c>
      <c r="F4" s="287">
        <v>43830</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4</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Dioničko društvo</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21.69</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57.19</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2019</v>
      </c>
      <c r="G12" s="330"/>
      <c r="H12" s="322" t="s">
        <v>2105</v>
      </c>
      <c r="I12" s="323"/>
      <c r="J12" s="323"/>
      <c r="K12" s="156"/>
      <c r="L12" s="156"/>
      <c r="M12" s="156"/>
      <c r="N12" s="156"/>
      <c r="P12" s="54" t="s">
        <v>2353</v>
      </c>
      <c r="Q12" s="55">
        <f>INT(VALUE(H27))/10</f>
        <v>313690.6</v>
      </c>
    </row>
    <row r="13" spans="4:17" ht="9.75" customHeight="1">
      <c r="D13" s="156"/>
      <c r="E13" s="162"/>
      <c r="H13" s="27"/>
      <c r="I13" s="163"/>
      <c r="J13" s="163"/>
      <c r="K13" s="156"/>
      <c r="L13" s="156"/>
      <c r="M13" s="156"/>
      <c r="N13" s="156"/>
      <c r="P13" s="54" t="s">
        <v>2353</v>
      </c>
      <c r="Q13" s="55">
        <f>INT(VALUE(M27))/50</f>
        <v>1400011.06</v>
      </c>
    </row>
    <row r="14" spans="1:17" ht="15">
      <c r="A14" s="321" t="s">
        <v>2714</v>
      </c>
      <c r="B14" s="321"/>
      <c r="C14" s="321"/>
      <c r="D14" s="164"/>
      <c r="E14" s="165"/>
      <c r="F14" s="319"/>
      <c r="G14" s="320"/>
      <c r="H14" s="320"/>
      <c r="I14" s="156"/>
      <c r="J14" s="327" t="s">
        <v>2100</v>
      </c>
      <c r="K14" s="328"/>
      <c r="L14" s="328"/>
      <c r="M14" s="328"/>
      <c r="N14" s="328"/>
      <c r="P14" s="54" t="s">
        <v>2718</v>
      </c>
      <c r="Q14" s="55">
        <f>INT(VALUE(C27))/100</f>
        <v>314077978.58</v>
      </c>
    </row>
    <row r="15" spans="1:17" ht="19.5" customHeight="1">
      <c r="A15" s="324">
        <f>Skriveni!B59</f>
        <v>1518288106.6999998</v>
      </c>
      <c r="B15" s="325"/>
      <c r="C15" s="326"/>
      <c r="D15" s="60"/>
      <c r="E15" s="60"/>
      <c r="F15" s="60"/>
      <c r="G15" s="60"/>
      <c r="H15" s="60"/>
      <c r="I15" s="60"/>
      <c r="J15" s="60"/>
      <c r="K15" s="60"/>
      <c r="L15" s="60"/>
      <c r="M15" s="60"/>
      <c r="N15" s="60"/>
      <c r="P15" s="54" t="s">
        <v>1817</v>
      </c>
      <c r="Q15" s="55">
        <f>LEN(Skriveni!B9)</f>
        <v>8</v>
      </c>
    </row>
    <row r="16" spans="4:17" ht="12.75" customHeight="1">
      <c r="D16" s="60"/>
      <c r="E16" s="60"/>
      <c r="F16" s="60"/>
      <c r="G16" s="60"/>
      <c r="H16" s="60"/>
      <c r="I16" s="60"/>
      <c r="P16" s="54" t="s">
        <v>1818</v>
      </c>
      <c r="Q16" s="55">
        <f>INT(VALUE(C31))/100</f>
        <v>422.4</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6</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2</v>
      </c>
      <c r="D19" s="371" t="str">
        <f>IF(C19="","Svrha predaje nije upisana",IF(ISNA(LOOKUP(C19,A118:A120,A118:A120)),"Nepostojeća ili neprepoznatljiva svrha predaje",IF(LOOKUP(C19,A118:A120,A118:A120)&lt;&gt;C19,"Nepostojeća ili neprepoznatljiva svrha predaje",LOOKUP(C19,A118:A120,B118:B120))))</f>
        <v>Predaja samo u svrhu javne objave</v>
      </c>
      <c r="E19" s="372"/>
      <c r="F19" s="372"/>
      <c r="G19" s="372"/>
      <c r="H19" s="372"/>
      <c r="I19" s="347" t="s">
        <v>1729</v>
      </c>
      <c r="J19" s="373"/>
      <c r="K19" s="373"/>
      <c r="L19" s="373"/>
      <c r="M19" s="373"/>
      <c r="N19" s="36" t="s">
        <v>2139</v>
      </c>
      <c r="P19" s="54" t="s">
        <v>1820</v>
      </c>
      <c r="Q19" s="55">
        <f>LEN(Skriveni!B12)</f>
        <v>13</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2138</v>
      </c>
      <c r="J21" s="374" t="s">
        <v>2110</v>
      </c>
      <c r="K21" s="373"/>
      <c r="L21" s="274" t="s">
        <v>2966</v>
      </c>
      <c r="M21" s="342"/>
      <c r="N21" s="277"/>
      <c r="P21" s="54" t="s">
        <v>1821</v>
      </c>
      <c r="Q21" s="55">
        <f>INT(VALUE(C39))</f>
        <v>156</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3811</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2964</v>
      </c>
      <c r="I27" s="275"/>
      <c r="J27" s="279" t="s">
        <v>2099</v>
      </c>
      <c r="K27" s="280"/>
      <c r="L27" s="344"/>
      <c r="M27" s="274" t="s">
        <v>2965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2954</v>
      </c>
      <c r="D29" s="345"/>
      <c r="E29" s="345"/>
      <c r="F29" s="345"/>
      <c r="G29" s="345"/>
      <c r="H29" s="345"/>
      <c r="I29" s="345"/>
      <c r="J29" s="345"/>
      <c r="K29" s="345"/>
      <c r="L29" s="346"/>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42240</v>
      </c>
      <c r="D31" s="335" t="s">
        <v>693</v>
      </c>
      <c r="E31" s="336"/>
      <c r="F31" s="316" t="s">
        <v>2955</v>
      </c>
      <c r="G31" s="337"/>
      <c r="H31" s="337"/>
      <c r="I31" s="337"/>
      <c r="J31" s="337"/>
      <c r="K31" s="337"/>
      <c r="L31" s="338"/>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2956</v>
      </c>
      <c r="D33" s="345"/>
      <c r="E33" s="345"/>
      <c r="F33" s="345"/>
      <c r="G33" s="345"/>
      <c r="H33" s="345"/>
      <c r="I33" s="345"/>
      <c r="J33" s="345"/>
      <c r="K33" s="345"/>
      <c r="L33" s="346"/>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2957</v>
      </c>
      <c r="D35" s="340"/>
      <c r="E35" s="340"/>
      <c r="F35" s="340"/>
      <c r="G35" s="340"/>
      <c r="H35" s="340"/>
      <c r="I35" s="341"/>
      <c r="J35" s="283" t="s">
        <v>188</v>
      </c>
      <c r="K35" s="347"/>
      <c r="L35" s="274" t="s">
        <v>2958</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2959</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156</v>
      </c>
      <c r="D39" s="348" t="str">
        <f>IF(C39="","Šifra grada/općine nije upisana",IF(ISNA(LOOKUP(C39,A177:A732,A177:A732)),"Šifra grada/općine ne postoji",IF(LOOKUP(C39,A177:A732,A177:A732)&lt;&gt;C39,"Šifra grada/općine ne postoji",LOOKUP(C39,A177:A732,B177:B732))))</f>
        <v>Ivanec</v>
      </c>
      <c r="E39" s="349"/>
      <c r="F39" s="349"/>
      <c r="G39" s="349"/>
      <c r="H39" s="272" t="s">
        <v>2222</v>
      </c>
      <c r="I39" s="344"/>
      <c r="J39" s="58">
        <f>IF(C39&gt;0,LOOKUP(C39,A177:A732,C177:C732),"")</f>
        <v>5</v>
      </c>
      <c r="K39" s="351" t="str">
        <f>IF(J39="","Treba prvo upisati šifru grada/općine",LOOKUP(J39,A153:A173,B153:B173))</f>
        <v>VARAŽDINSKA</v>
      </c>
      <c r="L39" s="351"/>
      <c r="M39" s="351"/>
      <c r="N39" s="351"/>
      <c r="P39" s="54" t="s">
        <v>1826</v>
      </c>
      <c r="Q39" s="55">
        <f>C56+2*F56+3*C58+4*F58</f>
        <v>710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2049</v>
      </c>
      <c r="D42" s="353" t="str">
        <f>IF(C42="","Šifra NKD-a nije upisana",IF(ISNA(LOOKUP(C42,A736:A1351,A736:A1351)),"Šifra NKD-a ne postoji",IF(LOOKUP(C42,A736:A1351,A736:A1351)&lt;&gt;C42,"Šifra NKD-a ne postoji",LOOKUP(C42,A736:A1351,B736:B1351))))</f>
        <v>Skupljanje neopasnog otpada</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7</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Krajnje matično društvo u grupi (nema nadređeno društvo) </v>
      </c>
      <c r="E44" s="357"/>
      <c r="F44" s="357"/>
      <c r="G44" s="357"/>
      <c r="H44" s="357"/>
      <c r="I44" s="357"/>
      <c r="J44" s="357"/>
      <c r="K44" s="357"/>
      <c r="L44" s="357"/>
      <c r="M44" s="357"/>
      <c r="N44" s="357"/>
      <c r="P44" s="54" t="s">
        <v>530</v>
      </c>
      <c r="Q44" s="55">
        <f>LEN(Skriveni!B43)</f>
        <v>8</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417482003.89</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2</v>
      </c>
      <c r="D50" s="379" t="str">
        <f>IF(C50="","Oznaka veličine nije upisana",IF(ISNA(LOOKUP(C50,A124:A127,A124:A127)),"Nepostojeća oznaka veličine",IF(LOOKUP(C50,A124:A127,A124:A127)&lt;&gt;C50,"Nepostojeća oznaka veličine",LOOKUP(C50,A124:A127,B124:B127))))</f>
        <v>Mali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NE</v>
      </c>
      <c r="J54" s="350" t="s">
        <v>567</v>
      </c>
      <c r="K54" s="312"/>
      <c r="L54" s="312"/>
      <c r="M54" s="312"/>
      <c r="N54" s="312"/>
      <c r="O54" s="186"/>
      <c r="P54" s="54" t="s">
        <v>2569</v>
      </c>
      <c r="Q54" s="54">
        <f>C44/10</f>
        <v>0.7</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77</v>
      </c>
      <c r="D56" s="270" t="s">
        <v>2898</v>
      </c>
      <c r="E56" s="380"/>
      <c r="F56" s="44">
        <v>78</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67</v>
      </c>
      <c r="D58" s="278" t="s">
        <v>2898</v>
      </c>
      <c r="E58" s="278"/>
      <c r="F58" s="44">
        <v>69</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2138</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2960</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2961</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2962</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2963</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8" activePane="bottomLeft" state="frozen"/>
      <selection pane="topLeft" activeCell="A1" sqref="A1"/>
      <selection pane="bottomLeft" activeCell="E1" sqref="E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31.12.2019.</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31407797858; IVKOM DD</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17517818</v>
      </c>
      <c r="J10" s="70">
        <f>J11+J18+J28+J39+J44</f>
        <v>16330728</v>
      </c>
    </row>
    <row r="11" spans="1:10" ht="13.5" customHeight="1">
      <c r="A11" s="384" t="s">
        <v>1850</v>
      </c>
      <c r="B11" s="384"/>
      <c r="C11" s="384"/>
      <c r="D11" s="384"/>
      <c r="E11" s="384"/>
      <c r="F11" s="384"/>
      <c r="G11" s="19">
        <v>3</v>
      </c>
      <c r="H11" s="20"/>
      <c r="I11" s="70">
        <f>SUM(I12:I17)</f>
        <v>654303</v>
      </c>
      <c r="J11" s="70">
        <f>SUM(J12:J17)</f>
        <v>648270</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v>77158</v>
      </c>
      <c r="J13" s="71">
        <v>53913</v>
      </c>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v>577145</v>
      </c>
      <c r="J17" s="71">
        <v>594357</v>
      </c>
    </row>
    <row r="18" spans="1:10" ht="13.5" customHeight="1">
      <c r="A18" s="384" t="s">
        <v>731</v>
      </c>
      <c r="B18" s="384"/>
      <c r="C18" s="384"/>
      <c r="D18" s="384"/>
      <c r="E18" s="384"/>
      <c r="F18" s="384"/>
      <c r="G18" s="19">
        <v>10</v>
      </c>
      <c r="H18" s="20"/>
      <c r="I18" s="70">
        <f>SUM(I19:I27)</f>
        <v>14571639</v>
      </c>
      <c r="J18" s="70">
        <f>SUM(J19:J27)</f>
        <v>13390582</v>
      </c>
    </row>
    <row r="19" spans="1:10" ht="13.5" customHeight="1">
      <c r="A19" s="383" t="s">
        <v>2176</v>
      </c>
      <c r="B19" s="383"/>
      <c r="C19" s="383"/>
      <c r="D19" s="383"/>
      <c r="E19" s="383"/>
      <c r="F19" s="383"/>
      <c r="G19" s="19">
        <v>11</v>
      </c>
      <c r="H19" s="20"/>
      <c r="I19" s="71">
        <v>17722</v>
      </c>
      <c r="J19" s="71">
        <v>17722</v>
      </c>
    </row>
    <row r="20" spans="1:10" ht="13.5" customHeight="1">
      <c r="A20" s="383" t="s">
        <v>543</v>
      </c>
      <c r="B20" s="383"/>
      <c r="C20" s="383"/>
      <c r="D20" s="383"/>
      <c r="E20" s="383"/>
      <c r="F20" s="383"/>
      <c r="G20" s="19">
        <v>12</v>
      </c>
      <c r="H20" s="20"/>
      <c r="I20" s="71">
        <v>2185960</v>
      </c>
      <c r="J20" s="71">
        <v>11132630</v>
      </c>
    </row>
    <row r="21" spans="1:10" ht="13.5" customHeight="1">
      <c r="A21" s="383" t="s">
        <v>2177</v>
      </c>
      <c r="B21" s="383"/>
      <c r="C21" s="383"/>
      <c r="D21" s="383"/>
      <c r="E21" s="383"/>
      <c r="F21" s="383"/>
      <c r="G21" s="19">
        <v>13</v>
      </c>
      <c r="H21" s="20"/>
      <c r="I21" s="71">
        <v>723599</v>
      </c>
      <c r="J21" s="71">
        <v>553917</v>
      </c>
    </row>
    <row r="22" spans="1:10" ht="13.5" customHeight="1">
      <c r="A22" s="383" t="s">
        <v>2290</v>
      </c>
      <c r="B22" s="383"/>
      <c r="C22" s="383"/>
      <c r="D22" s="383"/>
      <c r="E22" s="383"/>
      <c r="F22" s="383"/>
      <c r="G22" s="19">
        <v>14</v>
      </c>
      <c r="H22" s="20"/>
      <c r="I22" s="71">
        <v>1162938</v>
      </c>
      <c r="J22" s="71">
        <v>887262</v>
      </c>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v>10481420</v>
      </c>
      <c r="J25" s="71">
        <v>799051</v>
      </c>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2291876</v>
      </c>
      <c r="J28" s="70">
        <f>SUM(J29:J38)</f>
        <v>2291876</v>
      </c>
    </row>
    <row r="29" spans="1:10" ht="13.5" customHeight="1">
      <c r="A29" s="383" t="s">
        <v>399</v>
      </c>
      <c r="B29" s="383"/>
      <c r="C29" s="383"/>
      <c r="D29" s="383"/>
      <c r="E29" s="383"/>
      <c r="F29" s="383"/>
      <c r="G29" s="19">
        <v>21</v>
      </c>
      <c r="H29" s="20"/>
      <c r="I29" s="71">
        <v>2291876</v>
      </c>
      <c r="J29" s="71">
        <v>2291876</v>
      </c>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8675283</v>
      </c>
      <c r="J45" s="70">
        <f>J46+J54+J61+J71</f>
        <v>9031734</v>
      </c>
    </row>
    <row r="46" spans="1:10" ht="13.5" customHeight="1">
      <c r="A46" s="384" t="s">
        <v>2647</v>
      </c>
      <c r="B46" s="384"/>
      <c r="C46" s="384"/>
      <c r="D46" s="384"/>
      <c r="E46" s="384"/>
      <c r="F46" s="384"/>
      <c r="G46" s="19">
        <v>38</v>
      </c>
      <c r="H46" s="20"/>
      <c r="I46" s="70">
        <f>SUM(I47:I53)</f>
        <v>410047</v>
      </c>
      <c r="J46" s="70">
        <f>SUM(J47:J53)</f>
        <v>452346</v>
      </c>
    </row>
    <row r="47" spans="1:10" ht="13.5" customHeight="1">
      <c r="A47" s="383" t="s">
        <v>970</v>
      </c>
      <c r="B47" s="383"/>
      <c r="C47" s="383"/>
      <c r="D47" s="383"/>
      <c r="E47" s="383"/>
      <c r="F47" s="383"/>
      <c r="G47" s="19">
        <v>39</v>
      </c>
      <c r="H47" s="20"/>
      <c r="I47" s="71">
        <v>322391</v>
      </c>
      <c r="J47" s="71">
        <v>348901</v>
      </c>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v>87656</v>
      </c>
      <c r="J50" s="71">
        <v>103445</v>
      </c>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c r="I54" s="70">
        <f>SUM(I55:I60)</f>
        <v>4073714</v>
      </c>
      <c r="J54" s="70">
        <f>SUM(J55:J60)</f>
        <v>2127391</v>
      </c>
    </row>
    <row r="55" spans="1:10" ht="13.5" customHeight="1">
      <c r="A55" s="383" t="s">
        <v>348</v>
      </c>
      <c r="B55" s="383"/>
      <c r="C55" s="383"/>
      <c r="D55" s="383"/>
      <c r="E55" s="383"/>
      <c r="F55" s="383"/>
      <c r="G55" s="19">
        <v>47</v>
      </c>
      <c r="H55" s="20"/>
      <c r="I55" s="71">
        <v>79209</v>
      </c>
      <c r="J55" s="71">
        <v>66357</v>
      </c>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3980668</v>
      </c>
      <c r="J57" s="71">
        <v>2029556</v>
      </c>
    </row>
    <row r="58" spans="1:10" ht="13.5" customHeight="1">
      <c r="A58" s="383" t="s">
        <v>350</v>
      </c>
      <c r="B58" s="383"/>
      <c r="C58" s="383"/>
      <c r="D58" s="383"/>
      <c r="E58" s="383"/>
      <c r="F58" s="383"/>
      <c r="G58" s="19">
        <v>50</v>
      </c>
      <c r="H58" s="20"/>
      <c r="I58" s="71"/>
      <c r="J58" s="71"/>
    </row>
    <row r="59" spans="1:10" ht="13.5" customHeight="1">
      <c r="A59" s="383" t="s">
        <v>351</v>
      </c>
      <c r="B59" s="383"/>
      <c r="C59" s="383"/>
      <c r="D59" s="383"/>
      <c r="E59" s="383"/>
      <c r="F59" s="383"/>
      <c r="G59" s="19">
        <v>51</v>
      </c>
      <c r="H59" s="20"/>
      <c r="I59" s="71">
        <v>12606</v>
      </c>
      <c r="J59" s="71">
        <v>30088</v>
      </c>
    </row>
    <row r="60" spans="1:10" ht="13.5" customHeight="1">
      <c r="A60" s="383" t="s">
        <v>2638</v>
      </c>
      <c r="B60" s="383"/>
      <c r="C60" s="383"/>
      <c r="D60" s="383"/>
      <c r="E60" s="383"/>
      <c r="F60" s="383"/>
      <c r="G60" s="19">
        <v>52</v>
      </c>
      <c r="H60" s="20"/>
      <c r="I60" s="71">
        <v>1231</v>
      </c>
      <c r="J60" s="71">
        <v>1390</v>
      </c>
    </row>
    <row r="61" spans="1:10" ht="13.5" customHeight="1">
      <c r="A61" s="384" t="s">
        <v>2649</v>
      </c>
      <c r="B61" s="384"/>
      <c r="C61" s="384"/>
      <c r="D61" s="384"/>
      <c r="E61" s="384"/>
      <c r="F61" s="384"/>
      <c r="G61" s="19">
        <v>53</v>
      </c>
      <c r="H61" s="20"/>
      <c r="I61" s="70">
        <f>SUM(I62:I70)</f>
        <v>0</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c r="J69" s="71"/>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c r="I71" s="71">
        <v>4191522</v>
      </c>
      <c r="J71" s="71">
        <v>6451997</v>
      </c>
    </row>
    <row r="72" spans="1:10" ht="24.75" customHeight="1">
      <c r="A72" s="381" t="s">
        <v>1558</v>
      </c>
      <c r="B72" s="381"/>
      <c r="C72" s="381"/>
      <c r="D72" s="381"/>
      <c r="E72" s="381"/>
      <c r="F72" s="381"/>
      <c r="G72" s="19">
        <v>64</v>
      </c>
      <c r="H72" s="20"/>
      <c r="I72" s="71">
        <v>148277</v>
      </c>
      <c r="J72" s="71">
        <v>24440</v>
      </c>
    </row>
    <row r="73" spans="1:10" ht="13.5" customHeight="1">
      <c r="A73" s="381" t="s">
        <v>2650</v>
      </c>
      <c r="B73" s="381"/>
      <c r="C73" s="381"/>
      <c r="D73" s="381"/>
      <c r="E73" s="381"/>
      <c r="F73" s="381"/>
      <c r="G73" s="19">
        <v>65</v>
      </c>
      <c r="H73" s="20"/>
      <c r="I73" s="70">
        <f>I9+I10+I45+I72</f>
        <v>26341378</v>
      </c>
      <c r="J73" s="70">
        <f>J9+J10+J45+J72</f>
        <v>25386902</v>
      </c>
    </row>
    <row r="74" spans="1:10" ht="13.5" customHeight="1">
      <c r="A74" s="382" t="s">
        <v>257</v>
      </c>
      <c r="B74" s="382"/>
      <c r="C74" s="382"/>
      <c r="D74" s="382"/>
      <c r="E74" s="382"/>
      <c r="F74" s="382"/>
      <c r="G74" s="21">
        <v>66</v>
      </c>
      <c r="H74" s="22"/>
      <c r="I74" s="72"/>
      <c r="J74" s="72"/>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14099599</v>
      </c>
      <c r="J76" s="70">
        <f>J77+J78+J79+J85+J86+J90+J93+J96</f>
        <v>14176721</v>
      </c>
      <c r="L76" s="2" t="s">
        <v>2591</v>
      </c>
    </row>
    <row r="77" spans="1:10" ht="13.5" customHeight="1">
      <c r="A77" s="384" t="s">
        <v>935</v>
      </c>
      <c r="B77" s="384"/>
      <c r="C77" s="384"/>
      <c r="D77" s="384"/>
      <c r="E77" s="384"/>
      <c r="F77" s="384"/>
      <c r="G77" s="19">
        <v>68</v>
      </c>
      <c r="H77" s="20"/>
      <c r="I77" s="71">
        <v>10512810</v>
      </c>
      <c r="J77" s="71">
        <v>10512810</v>
      </c>
    </row>
    <row r="78" spans="1:12" ht="13.5" customHeight="1">
      <c r="A78" s="384" t="s">
        <v>936</v>
      </c>
      <c r="B78" s="384"/>
      <c r="C78" s="384"/>
      <c r="D78" s="384"/>
      <c r="E78" s="384"/>
      <c r="F78" s="384"/>
      <c r="G78" s="19">
        <v>69</v>
      </c>
      <c r="H78" s="20"/>
      <c r="I78" s="71"/>
      <c r="J78" s="71"/>
      <c r="L78" s="2" t="s">
        <v>2591</v>
      </c>
    </row>
    <row r="79" spans="1:12" ht="13.5" customHeight="1">
      <c r="A79" s="384" t="s">
        <v>2473</v>
      </c>
      <c r="B79" s="384"/>
      <c r="C79" s="384"/>
      <c r="D79" s="384"/>
      <c r="E79" s="384"/>
      <c r="F79" s="384"/>
      <c r="G79" s="19">
        <v>70</v>
      </c>
      <c r="H79" s="20"/>
      <c r="I79" s="70">
        <f>I80+I81-I82+I83+I84</f>
        <v>2953612</v>
      </c>
      <c r="J79" s="70">
        <f>J80+J81-J82+J83+J84</f>
        <v>2955955</v>
      </c>
      <c r="L79" s="2" t="s">
        <v>2591</v>
      </c>
    </row>
    <row r="80" spans="1:10" ht="13.5" customHeight="1">
      <c r="A80" s="383" t="s">
        <v>2641</v>
      </c>
      <c r="B80" s="383"/>
      <c r="C80" s="383"/>
      <c r="D80" s="383"/>
      <c r="E80" s="383"/>
      <c r="F80" s="383"/>
      <c r="G80" s="19">
        <v>71</v>
      </c>
      <c r="H80" s="20"/>
      <c r="I80" s="71">
        <v>57418</v>
      </c>
      <c r="J80" s="71">
        <v>59761</v>
      </c>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v>2896194</v>
      </c>
      <c r="J84" s="71">
        <v>2896194</v>
      </c>
    </row>
    <row r="85" spans="1:12" ht="13.5" customHeight="1">
      <c r="A85" s="384" t="s">
        <v>1606</v>
      </c>
      <c r="B85" s="384"/>
      <c r="C85" s="384"/>
      <c r="D85" s="384"/>
      <c r="E85" s="384"/>
      <c r="F85" s="384"/>
      <c r="G85" s="19">
        <v>76</v>
      </c>
      <c r="H85" s="20"/>
      <c r="I85" s="71">
        <v>348367</v>
      </c>
      <c r="J85" s="71">
        <v>348367</v>
      </c>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237956</v>
      </c>
      <c r="J90" s="70">
        <f>J91-J92</f>
        <v>282468</v>
      </c>
      <c r="L90" s="2" t="s">
        <v>2591</v>
      </c>
    </row>
    <row r="91" spans="1:10" ht="13.5" customHeight="1">
      <c r="A91" s="383" t="s">
        <v>1139</v>
      </c>
      <c r="B91" s="383"/>
      <c r="C91" s="383"/>
      <c r="D91" s="383"/>
      <c r="E91" s="383"/>
      <c r="F91" s="383"/>
      <c r="G91" s="19">
        <v>82</v>
      </c>
      <c r="H91" s="20"/>
      <c r="I91" s="71">
        <v>237956</v>
      </c>
      <c r="J91" s="71">
        <v>282468</v>
      </c>
    </row>
    <row r="92" spans="1:10" ht="13.5" customHeight="1">
      <c r="A92" s="383" t="s">
        <v>1140</v>
      </c>
      <c r="B92" s="383"/>
      <c r="C92" s="383"/>
      <c r="D92" s="383"/>
      <c r="E92" s="383"/>
      <c r="F92" s="383"/>
      <c r="G92" s="19">
        <v>83</v>
      </c>
      <c r="H92" s="20"/>
      <c r="I92" s="71"/>
      <c r="J92" s="71"/>
    </row>
    <row r="93" spans="1:12" ht="13.5" customHeight="1">
      <c r="A93" s="384" t="s">
        <v>2653</v>
      </c>
      <c r="B93" s="384"/>
      <c r="C93" s="384"/>
      <c r="D93" s="384"/>
      <c r="E93" s="384"/>
      <c r="F93" s="384"/>
      <c r="G93" s="19">
        <v>84</v>
      </c>
      <c r="H93" s="20"/>
      <c r="I93" s="70">
        <f>I94-I95</f>
        <v>46854</v>
      </c>
      <c r="J93" s="70">
        <f>J94-J95</f>
        <v>77121</v>
      </c>
      <c r="L93" s="2" t="s">
        <v>2591</v>
      </c>
    </row>
    <row r="94" spans="1:10" ht="13.5" customHeight="1">
      <c r="A94" s="383" t="s">
        <v>2640</v>
      </c>
      <c r="B94" s="383"/>
      <c r="C94" s="383"/>
      <c r="D94" s="383"/>
      <c r="E94" s="383"/>
      <c r="F94" s="383"/>
      <c r="G94" s="19">
        <v>85</v>
      </c>
      <c r="H94" s="20"/>
      <c r="I94" s="71">
        <v>46854</v>
      </c>
      <c r="J94" s="71">
        <v>77121</v>
      </c>
    </row>
    <row r="95" spans="1:10" ht="13.5" customHeight="1">
      <c r="A95" s="383" t="s">
        <v>1141</v>
      </c>
      <c r="B95" s="383"/>
      <c r="C95" s="383"/>
      <c r="D95" s="383"/>
      <c r="E95" s="383"/>
      <c r="F95" s="383"/>
      <c r="G95" s="19">
        <v>86</v>
      </c>
      <c r="H95" s="20"/>
      <c r="I95" s="71"/>
      <c r="J95" s="71"/>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0</v>
      </c>
      <c r="J97" s="70">
        <f>SUM(J98:J103)</f>
        <v>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c r="I104" s="70">
        <f>SUM(I105:I115)</f>
        <v>0</v>
      </c>
      <c r="J104" s="70">
        <f>SUM(J105:J115)</f>
        <v>0</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c r="J110" s="71"/>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1640643</v>
      </c>
      <c r="J116" s="70">
        <f>SUM(J117:J130)</f>
        <v>1651793</v>
      </c>
    </row>
    <row r="117" spans="1:10" ht="13.5" customHeight="1">
      <c r="A117" s="383" t="s">
        <v>2193</v>
      </c>
      <c r="B117" s="383"/>
      <c r="C117" s="383"/>
      <c r="D117" s="383"/>
      <c r="E117" s="383"/>
      <c r="F117" s="383"/>
      <c r="G117" s="19">
        <v>108</v>
      </c>
      <c r="H117" s="20"/>
      <c r="I117" s="71"/>
      <c r="J117" s="71">
        <v>16094</v>
      </c>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c r="I122" s="71"/>
      <c r="J122" s="71"/>
    </row>
    <row r="123" spans="1:10" ht="13.5" customHeight="1">
      <c r="A123" s="383" t="s">
        <v>357</v>
      </c>
      <c r="B123" s="383"/>
      <c r="C123" s="383"/>
      <c r="D123" s="383"/>
      <c r="E123" s="383"/>
      <c r="F123" s="383"/>
      <c r="G123" s="19">
        <v>114</v>
      </c>
      <c r="H123" s="20"/>
      <c r="I123" s="71"/>
      <c r="J123" s="71"/>
    </row>
    <row r="124" spans="1:10" ht="13.5" customHeight="1">
      <c r="A124" s="383" t="s">
        <v>358</v>
      </c>
      <c r="B124" s="383"/>
      <c r="C124" s="383"/>
      <c r="D124" s="383"/>
      <c r="E124" s="383"/>
      <c r="F124" s="383"/>
      <c r="G124" s="19">
        <v>115</v>
      </c>
      <c r="H124" s="20"/>
      <c r="I124" s="71">
        <v>730655</v>
      </c>
      <c r="J124" s="71">
        <v>743461</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409256</v>
      </c>
      <c r="J126" s="71">
        <v>454908</v>
      </c>
    </row>
    <row r="127" spans="1:10" ht="13.5" customHeight="1">
      <c r="A127" s="383" t="s">
        <v>364</v>
      </c>
      <c r="B127" s="383"/>
      <c r="C127" s="383"/>
      <c r="D127" s="383"/>
      <c r="E127" s="383"/>
      <c r="F127" s="383"/>
      <c r="G127" s="19">
        <v>118</v>
      </c>
      <c r="H127" s="20"/>
      <c r="I127" s="71">
        <v>488699</v>
      </c>
      <c r="J127" s="71">
        <v>422122</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v>12033</v>
      </c>
      <c r="J130" s="71">
        <v>15208</v>
      </c>
    </row>
    <row r="131" spans="1:10" ht="24.75" customHeight="1">
      <c r="A131" s="381" t="s">
        <v>1560</v>
      </c>
      <c r="B131" s="381"/>
      <c r="C131" s="381"/>
      <c r="D131" s="381"/>
      <c r="E131" s="381"/>
      <c r="F131" s="381"/>
      <c r="G131" s="19">
        <v>122</v>
      </c>
      <c r="H131" s="20"/>
      <c r="I131" s="71">
        <v>10601136</v>
      </c>
      <c r="J131" s="71">
        <v>9558388</v>
      </c>
    </row>
    <row r="132" spans="1:10" ht="13.5" customHeight="1">
      <c r="A132" s="381" t="s">
        <v>2657</v>
      </c>
      <c r="B132" s="381"/>
      <c r="C132" s="381"/>
      <c r="D132" s="381"/>
      <c r="E132" s="381"/>
      <c r="F132" s="381"/>
      <c r="G132" s="19">
        <v>123</v>
      </c>
      <c r="H132" s="20"/>
      <c r="I132" s="70">
        <f>I76+I97+I104+I116+I131</f>
        <v>26341378</v>
      </c>
      <c r="J132" s="70">
        <f>J76+J97+J104+J116+J131</f>
        <v>25386902</v>
      </c>
    </row>
    <row r="133" spans="1:10" ht="13.5" customHeight="1">
      <c r="A133" s="382" t="s">
        <v>662</v>
      </c>
      <c r="B133" s="382"/>
      <c r="C133" s="382"/>
      <c r="D133" s="382"/>
      <c r="E133" s="382"/>
      <c r="F133" s="382"/>
      <c r="G133" s="21">
        <v>124</v>
      </c>
      <c r="H133" s="22"/>
      <c r="I133" s="72"/>
      <c r="J133" s="72"/>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44" activePane="bottomLeft" state="frozen"/>
      <selection pane="topLeft" activeCell="A1" sqref="A1"/>
      <selection pane="bottomLeft" activeCell="F1" sqref="F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01.01.2019. do 31.12.2019.</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31407797858; IVKOM DD</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15007777</v>
      </c>
      <c r="J8" s="84">
        <f>SUM(J9:J13)</f>
        <v>17040935</v>
      </c>
      <c r="Q8" s="2">
        <f>IF(OR(MIN(I70:J75)&lt;&gt;0,MAX(I70:J75)&lt;&gt;0),1,0)</f>
        <v>0</v>
      </c>
      <c r="R8" s="73" t="s">
        <v>2597</v>
      </c>
    </row>
    <row r="9" spans="1:10" s="2" customFormat="1" ht="13.5" customHeight="1">
      <c r="A9" s="383" t="s">
        <v>1434</v>
      </c>
      <c r="B9" s="383"/>
      <c r="C9" s="383"/>
      <c r="D9" s="383"/>
      <c r="E9" s="383"/>
      <c r="F9" s="383"/>
      <c r="G9" s="19">
        <v>126</v>
      </c>
      <c r="H9" s="20"/>
      <c r="I9" s="71">
        <v>279159</v>
      </c>
      <c r="J9" s="71">
        <v>214469</v>
      </c>
    </row>
    <row r="10" spans="1:10" s="2" customFormat="1" ht="13.5" customHeight="1">
      <c r="A10" s="383" t="s">
        <v>730</v>
      </c>
      <c r="B10" s="383"/>
      <c r="C10" s="383"/>
      <c r="D10" s="383"/>
      <c r="E10" s="383"/>
      <c r="F10" s="383"/>
      <c r="G10" s="19">
        <v>127</v>
      </c>
      <c r="H10" s="20"/>
      <c r="I10" s="71">
        <v>13883019</v>
      </c>
      <c r="J10" s="71">
        <v>15235815</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v>845599</v>
      </c>
      <c r="J13" s="71">
        <v>1590651</v>
      </c>
    </row>
    <row r="14" spans="1:10" s="2" customFormat="1" ht="13.5" customHeight="1">
      <c r="A14" s="381" t="s">
        <v>1837</v>
      </c>
      <c r="B14" s="381"/>
      <c r="C14" s="381"/>
      <c r="D14" s="381"/>
      <c r="E14" s="381"/>
      <c r="F14" s="381"/>
      <c r="G14" s="19">
        <v>131</v>
      </c>
      <c r="H14" s="20"/>
      <c r="I14" s="70">
        <f>I15+I16+I20+I24+I25+I26+I29+I36</f>
        <v>15056946</v>
      </c>
      <c r="J14" s="70">
        <f>J15+J16+J20+J24+J25+J26+J29+J36</f>
        <v>17032755</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5164148</v>
      </c>
      <c r="J16" s="70">
        <f>SUM(J17:J19)</f>
        <v>5347268</v>
      </c>
    </row>
    <row r="17" spans="1:10" s="2" customFormat="1" ht="13.5" customHeight="1">
      <c r="A17" s="409" t="s">
        <v>504</v>
      </c>
      <c r="B17" s="409"/>
      <c r="C17" s="409"/>
      <c r="D17" s="409"/>
      <c r="E17" s="409"/>
      <c r="F17" s="409"/>
      <c r="G17" s="19">
        <v>134</v>
      </c>
      <c r="H17" s="20"/>
      <c r="I17" s="71">
        <v>1931336</v>
      </c>
      <c r="J17" s="71">
        <v>2102820</v>
      </c>
    </row>
    <row r="18" spans="1:10" s="2" customFormat="1" ht="13.5" customHeight="1">
      <c r="A18" s="409" t="s">
        <v>505</v>
      </c>
      <c r="B18" s="409"/>
      <c r="C18" s="409"/>
      <c r="D18" s="409"/>
      <c r="E18" s="409"/>
      <c r="F18" s="409"/>
      <c r="G18" s="19">
        <v>135</v>
      </c>
      <c r="H18" s="20"/>
      <c r="I18" s="71">
        <v>458458</v>
      </c>
      <c r="J18" s="71">
        <v>484002</v>
      </c>
    </row>
    <row r="19" spans="1:10" s="2" customFormat="1" ht="13.5" customHeight="1">
      <c r="A19" s="409" t="s">
        <v>1426</v>
      </c>
      <c r="B19" s="409"/>
      <c r="C19" s="409"/>
      <c r="D19" s="409"/>
      <c r="E19" s="409"/>
      <c r="F19" s="409"/>
      <c r="G19" s="19">
        <v>136</v>
      </c>
      <c r="H19" s="20"/>
      <c r="I19" s="71">
        <v>2774354</v>
      </c>
      <c r="J19" s="71">
        <v>2760446</v>
      </c>
    </row>
    <row r="20" spans="1:10" s="2" customFormat="1" ht="13.5" customHeight="1">
      <c r="A20" s="383" t="s">
        <v>1839</v>
      </c>
      <c r="B20" s="383"/>
      <c r="C20" s="383"/>
      <c r="D20" s="383"/>
      <c r="E20" s="383"/>
      <c r="F20" s="383"/>
      <c r="G20" s="19">
        <v>137</v>
      </c>
      <c r="H20" s="20"/>
      <c r="I20" s="70">
        <f>SUM(I21:I23)</f>
        <v>6202840</v>
      </c>
      <c r="J20" s="70">
        <f>SUM(J21:J23)</f>
        <v>6569097</v>
      </c>
    </row>
    <row r="21" spans="1:10" s="2" customFormat="1" ht="13.5" customHeight="1">
      <c r="A21" s="409" t="s">
        <v>724</v>
      </c>
      <c r="B21" s="409"/>
      <c r="C21" s="409"/>
      <c r="D21" s="409"/>
      <c r="E21" s="409"/>
      <c r="F21" s="409"/>
      <c r="G21" s="19">
        <v>138</v>
      </c>
      <c r="H21" s="20"/>
      <c r="I21" s="71">
        <v>3974587</v>
      </c>
      <c r="J21" s="71">
        <v>4212147</v>
      </c>
    </row>
    <row r="22" spans="1:10" s="2" customFormat="1" ht="13.5" customHeight="1">
      <c r="A22" s="409" t="s">
        <v>961</v>
      </c>
      <c r="B22" s="409"/>
      <c r="C22" s="409"/>
      <c r="D22" s="409"/>
      <c r="E22" s="409"/>
      <c r="F22" s="409"/>
      <c r="G22" s="19">
        <v>139</v>
      </c>
      <c r="H22" s="20"/>
      <c r="I22" s="71">
        <v>1283178</v>
      </c>
      <c r="J22" s="71">
        <v>1398209</v>
      </c>
    </row>
    <row r="23" spans="1:10" s="2" customFormat="1" ht="13.5" customHeight="1">
      <c r="A23" s="409" t="s">
        <v>962</v>
      </c>
      <c r="B23" s="409"/>
      <c r="C23" s="409"/>
      <c r="D23" s="409"/>
      <c r="E23" s="409"/>
      <c r="F23" s="409"/>
      <c r="G23" s="19">
        <v>140</v>
      </c>
      <c r="H23" s="20"/>
      <c r="I23" s="71">
        <v>945075</v>
      </c>
      <c r="J23" s="71">
        <v>958741</v>
      </c>
    </row>
    <row r="24" spans="1:10" s="2" customFormat="1" ht="13.5" customHeight="1">
      <c r="A24" s="383" t="s">
        <v>259</v>
      </c>
      <c r="B24" s="383"/>
      <c r="C24" s="383"/>
      <c r="D24" s="383"/>
      <c r="E24" s="383"/>
      <c r="F24" s="383"/>
      <c r="G24" s="19">
        <v>141</v>
      </c>
      <c r="H24" s="20"/>
      <c r="I24" s="71">
        <v>1420573</v>
      </c>
      <c r="J24" s="71">
        <v>2223309</v>
      </c>
    </row>
    <row r="25" spans="1:10" s="2" customFormat="1" ht="13.5" customHeight="1">
      <c r="A25" s="383" t="s">
        <v>260</v>
      </c>
      <c r="B25" s="383"/>
      <c r="C25" s="383"/>
      <c r="D25" s="383"/>
      <c r="E25" s="383"/>
      <c r="F25" s="383"/>
      <c r="G25" s="19">
        <v>142</v>
      </c>
      <c r="H25" s="20"/>
      <c r="I25" s="71">
        <v>1814350</v>
      </c>
      <c r="J25" s="71">
        <v>2270394</v>
      </c>
    </row>
    <row r="26" spans="1:12" s="2" customFormat="1" ht="13.5" customHeight="1">
      <c r="A26" s="383" t="s">
        <v>1840</v>
      </c>
      <c r="B26" s="383"/>
      <c r="C26" s="383"/>
      <c r="D26" s="383"/>
      <c r="E26" s="383"/>
      <c r="F26" s="383"/>
      <c r="G26" s="19">
        <v>143</v>
      </c>
      <c r="H26" s="20"/>
      <c r="I26" s="70">
        <f>SUM(I27:I28)</f>
        <v>379974</v>
      </c>
      <c r="J26" s="70">
        <f>SUM(J27:J28)</f>
        <v>557194</v>
      </c>
      <c r="L26" s="2" t="s">
        <v>2591</v>
      </c>
    </row>
    <row r="27" spans="1:12" s="2" customFormat="1" ht="13.5" customHeight="1">
      <c r="A27" s="409" t="s">
        <v>506</v>
      </c>
      <c r="B27" s="409"/>
      <c r="C27" s="409"/>
      <c r="D27" s="409"/>
      <c r="E27" s="409"/>
      <c r="F27" s="409"/>
      <c r="G27" s="19">
        <v>144</v>
      </c>
      <c r="H27" s="20"/>
      <c r="I27" s="71">
        <v>379974</v>
      </c>
      <c r="J27" s="71">
        <v>557194</v>
      </c>
      <c r="L27" s="2" t="s">
        <v>2591</v>
      </c>
    </row>
    <row r="28" spans="1:12" s="2" customFormat="1" ht="13.5" customHeight="1">
      <c r="A28" s="409" t="s">
        <v>507</v>
      </c>
      <c r="B28" s="409"/>
      <c r="C28" s="409"/>
      <c r="D28" s="409"/>
      <c r="E28" s="409"/>
      <c r="F28" s="409"/>
      <c r="G28" s="19">
        <v>145</v>
      </c>
      <c r="H28" s="20"/>
      <c r="I28" s="71"/>
      <c r="J28" s="71"/>
      <c r="L28" s="2" t="s">
        <v>2591</v>
      </c>
    </row>
    <row r="29" spans="1:12" s="2" customFormat="1" ht="13.5" customHeight="1">
      <c r="A29" s="383" t="s">
        <v>1841</v>
      </c>
      <c r="B29" s="383"/>
      <c r="C29" s="383"/>
      <c r="D29" s="383"/>
      <c r="E29" s="383"/>
      <c r="F29" s="383"/>
      <c r="G29" s="19">
        <v>146</v>
      </c>
      <c r="H29" s="20"/>
      <c r="I29" s="70">
        <f>SUM(I30:I35)</f>
        <v>0</v>
      </c>
      <c r="J29" s="70">
        <f>SUM(J30:J35)</f>
        <v>0</v>
      </c>
      <c r="L29" s="2" t="s">
        <v>2591</v>
      </c>
    </row>
    <row r="30" spans="1:12" s="2" customFormat="1" ht="13.5" customHeight="1">
      <c r="A30" s="409" t="s">
        <v>508</v>
      </c>
      <c r="B30" s="409"/>
      <c r="C30" s="409"/>
      <c r="D30" s="409"/>
      <c r="E30" s="409"/>
      <c r="F30" s="409"/>
      <c r="G30" s="19">
        <v>147</v>
      </c>
      <c r="H30" s="20"/>
      <c r="I30" s="71"/>
      <c r="J30" s="71"/>
      <c r="L30" s="2" t="s">
        <v>2591</v>
      </c>
    </row>
    <row r="31" spans="1:12" s="2" customFormat="1" ht="13.5" customHeight="1">
      <c r="A31" s="409" t="s">
        <v>509</v>
      </c>
      <c r="B31" s="409"/>
      <c r="C31" s="409"/>
      <c r="D31" s="409"/>
      <c r="E31" s="409"/>
      <c r="F31" s="409"/>
      <c r="G31" s="19">
        <v>148</v>
      </c>
      <c r="H31" s="20"/>
      <c r="I31" s="71"/>
      <c r="J31" s="71"/>
      <c r="L31" s="2" t="s">
        <v>2591</v>
      </c>
    </row>
    <row r="32" spans="1:12" s="2" customFormat="1" ht="13.5" customHeight="1">
      <c r="A32" s="409" t="s">
        <v>510</v>
      </c>
      <c r="B32" s="409"/>
      <c r="C32" s="409"/>
      <c r="D32" s="409"/>
      <c r="E32" s="409"/>
      <c r="F32" s="409"/>
      <c r="G32" s="19">
        <v>149</v>
      </c>
      <c r="H32" s="20"/>
      <c r="I32" s="71"/>
      <c r="J32" s="71"/>
      <c r="L32" s="2" t="s">
        <v>2591</v>
      </c>
    </row>
    <row r="33" spans="1:12" s="2" customFormat="1" ht="13.5" customHeight="1">
      <c r="A33" s="409" t="s">
        <v>511</v>
      </c>
      <c r="B33" s="409"/>
      <c r="C33" s="409"/>
      <c r="D33" s="409"/>
      <c r="E33" s="409"/>
      <c r="F33" s="409"/>
      <c r="G33" s="19">
        <v>150</v>
      </c>
      <c r="H33" s="20"/>
      <c r="I33" s="71"/>
      <c r="J33" s="71"/>
      <c r="L33" s="2" t="s">
        <v>2591</v>
      </c>
    </row>
    <row r="34" spans="1:12" s="2" customFormat="1" ht="13.5" customHeight="1">
      <c r="A34" s="409" t="s">
        <v>512</v>
      </c>
      <c r="B34" s="409"/>
      <c r="C34" s="409"/>
      <c r="D34" s="409"/>
      <c r="E34" s="409"/>
      <c r="F34" s="409"/>
      <c r="G34" s="19">
        <v>151</v>
      </c>
      <c r="H34" s="20"/>
      <c r="I34" s="71"/>
      <c r="J34" s="71"/>
      <c r="L34" s="2" t="s">
        <v>2591</v>
      </c>
    </row>
    <row r="35" spans="1:12" s="2" customFormat="1" ht="13.5" customHeight="1">
      <c r="A35" s="409" t="s">
        <v>513</v>
      </c>
      <c r="B35" s="409"/>
      <c r="C35" s="409"/>
      <c r="D35" s="409"/>
      <c r="E35" s="409"/>
      <c r="F35" s="409"/>
      <c r="G35" s="19">
        <v>152</v>
      </c>
      <c r="H35" s="20"/>
      <c r="I35" s="71"/>
      <c r="J35" s="71"/>
      <c r="L35" s="2" t="s">
        <v>2591</v>
      </c>
    </row>
    <row r="36" spans="1:10" s="2" customFormat="1" ht="13.5" customHeight="1">
      <c r="A36" s="383" t="s">
        <v>1692</v>
      </c>
      <c r="B36" s="383"/>
      <c r="C36" s="383"/>
      <c r="D36" s="383"/>
      <c r="E36" s="383"/>
      <c r="F36" s="383"/>
      <c r="G36" s="19">
        <v>153</v>
      </c>
      <c r="H36" s="20"/>
      <c r="I36" s="71">
        <v>75061</v>
      </c>
      <c r="J36" s="71">
        <v>65493</v>
      </c>
    </row>
    <row r="37" spans="1:10" s="2" customFormat="1" ht="13.5" customHeight="1">
      <c r="A37" s="381" t="s">
        <v>1842</v>
      </c>
      <c r="B37" s="381"/>
      <c r="C37" s="381"/>
      <c r="D37" s="381"/>
      <c r="E37" s="381"/>
      <c r="F37" s="381"/>
      <c r="G37" s="19">
        <v>154</v>
      </c>
      <c r="H37" s="20"/>
      <c r="I37" s="70">
        <f>SUM(I38:I47)</f>
        <v>133453</v>
      </c>
      <c r="J37" s="70">
        <f>SUM(J38:J47)</f>
        <v>107754</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v>3366</v>
      </c>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130087</v>
      </c>
      <c r="J44" s="71">
        <v>107748</v>
      </c>
    </row>
    <row r="45" spans="1:10" s="2" customFormat="1" ht="13.5" customHeight="1">
      <c r="A45" s="383" t="s">
        <v>1428</v>
      </c>
      <c r="B45" s="383"/>
      <c r="C45" s="383"/>
      <c r="D45" s="383"/>
      <c r="E45" s="383"/>
      <c r="F45" s="383"/>
      <c r="G45" s="19">
        <v>162</v>
      </c>
      <c r="H45" s="20"/>
      <c r="I45" s="71"/>
      <c r="J45" s="71">
        <v>6</v>
      </c>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c r="I48" s="70">
        <f>SUM(I49:I55)</f>
        <v>159</v>
      </c>
      <c r="J48" s="70">
        <f>SUM(J49:J55)</f>
        <v>254</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v>137</v>
      </c>
      <c r="J51" s="71">
        <v>254</v>
      </c>
    </row>
    <row r="52" spans="1:10" s="2" customFormat="1" ht="13.5" customHeight="1">
      <c r="A52" s="403" t="s">
        <v>1439</v>
      </c>
      <c r="B52" s="403"/>
      <c r="C52" s="403"/>
      <c r="D52" s="403"/>
      <c r="E52" s="403"/>
      <c r="F52" s="403"/>
      <c r="G52" s="19">
        <v>169</v>
      </c>
      <c r="H52" s="20"/>
      <c r="I52" s="71">
        <v>22</v>
      </c>
      <c r="J52" s="71"/>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15141230</v>
      </c>
      <c r="J60" s="70">
        <f>J8+J37+J56+J57</f>
        <v>17148689</v>
      </c>
    </row>
    <row r="61" spans="1:10" s="2" customFormat="1" ht="13.5" customHeight="1">
      <c r="A61" s="381" t="s">
        <v>1845</v>
      </c>
      <c r="B61" s="381"/>
      <c r="C61" s="381"/>
      <c r="D61" s="381"/>
      <c r="E61" s="381"/>
      <c r="F61" s="381"/>
      <c r="G61" s="19">
        <v>178</v>
      </c>
      <c r="H61" s="20"/>
      <c r="I61" s="70">
        <f>I14+I48+I58+I59</f>
        <v>15057105</v>
      </c>
      <c r="J61" s="70">
        <f>J14+J48+J58+J59</f>
        <v>17033009</v>
      </c>
    </row>
    <row r="62" spans="1:12" s="2" customFormat="1" ht="13.5" customHeight="1">
      <c r="A62" s="381" t="s">
        <v>2581</v>
      </c>
      <c r="B62" s="381"/>
      <c r="C62" s="381"/>
      <c r="D62" s="381"/>
      <c r="E62" s="381"/>
      <c r="F62" s="381"/>
      <c r="G62" s="19">
        <v>179</v>
      </c>
      <c r="H62" s="20"/>
      <c r="I62" s="70">
        <f>I60-I61</f>
        <v>84125</v>
      </c>
      <c r="J62" s="70">
        <f>J60-J61</f>
        <v>115680</v>
      </c>
      <c r="L62" s="2" t="s">
        <v>2591</v>
      </c>
    </row>
    <row r="63" spans="1:10" s="2" customFormat="1" ht="13.5" customHeight="1">
      <c r="A63" s="403" t="s">
        <v>2658</v>
      </c>
      <c r="B63" s="403"/>
      <c r="C63" s="403"/>
      <c r="D63" s="403"/>
      <c r="E63" s="403"/>
      <c r="F63" s="403"/>
      <c r="G63" s="19">
        <v>180</v>
      </c>
      <c r="H63" s="20"/>
      <c r="I63" s="70">
        <f>IF(I60&gt;I61,I60-I61,0)</f>
        <v>84125</v>
      </c>
      <c r="J63" s="70">
        <f>IF(J60&gt;J61,J60-J61,0)</f>
        <v>115680</v>
      </c>
    </row>
    <row r="64" spans="1:10" s="2" customFormat="1" ht="13.5" customHeight="1">
      <c r="A64" s="403" t="s">
        <v>778</v>
      </c>
      <c r="B64" s="403"/>
      <c r="C64" s="403"/>
      <c r="D64" s="403"/>
      <c r="E64" s="403"/>
      <c r="F64" s="403"/>
      <c r="G64" s="19">
        <v>181</v>
      </c>
      <c r="H64" s="20"/>
      <c r="I64" s="70">
        <f>IF(I61&gt;I60,I61-I60,0)</f>
        <v>0</v>
      </c>
      <c r="J64" s="70">
        <f>IF(J61&gt;J60,J61-J60,0)</f>
        <v>0</v>
      </c>
    </row>
    <row r="65" spans="1:12" s="2" customFormat="1" ht="13.5" customHeight="1">
      <c r="A65" s="381" t="s">
        <v>2620</v>
      </c>
      <c r="B65" s="381"/>
      <c r="C65" s="381"/>
      <c r="D65" s="381"/>
      <c r="E65" s="381"/>
      <c r="F65" s="381"/>
      <c r="G65" s="19">
        <v>182</v>
      </c>
      <c r="H65" s="20"/>
      <c r="I65" s="71">
        <v>37271</v>
      </c>
      <c r="J65" s="71">
        <v>38559</v>
      </c>
      <c r="L65" s="2" t="s">
        <v>2591</v>
      </c>
    </row>
    <row r="66" spans="1:12" s="2" customFormat="1" ht="13.5" customHeight="1">
      <c r="A66" s="381" t="s">
        <v>2582</v>
      </c>
      <c r="B66" s="381"/>
      <c r="C66" s="381"/>
      <c r="D66" s="381"/>
      <c r="E66" s="381"/>
      <c r="F66" s="381"/>
      <c r="G66" s="19">
        <v>183</v>
      </c>
      <c r="H66" s="20"/>
      <c r="I66" s="70">
        <f>I62-I65</f>
        <v>46854</v>
      </c>
      <c r="J66" s="70">
        <f>J62-J65</f>
        <v>77121</v>
      </c>
      <c r="L66" s="2" t="s">
        <v>2591</v>
      </c>
    </row>
    <row r="67" spans="1:10" s="2" customFormat="1" ht="13.5" customHeight="1">
      <c r="A67" s="403" t="s">
        <v>779</v>
      </c>
      <c r="B67" s="403"/>
      <c r="C67" s="403"/>
      <c r="D67" s="403"/>
      <c r="E67" s="403"/>
      <c r="F67" s="403"/>
      <c r="G67" s="19">
        <v>184</v>
      </c>
      <c r="H67" s="20"/>
      <c r="I67" s="70">
        <f>IF(I66&gt;0,I66,0)</f>
        <v>46854</v>
      </c>
      <c r="J67" s="70">
        <f>IF(J66&gt;0,J66,0)</f>
        <v>77121</v>
      </c>
    </row>
    <row r="68" spans="1:10" s="2" customFormat="1" ht="13.5" customHeight="1">
      <c r="A68" s="404" t="s">
        <v>1472</v>
      </c>
      <c r="B68" s="404"/>
      <c r="C68" s="404"/>
      <c r="D68" s="404"/>
      <c r="E68" s="404"/>
      <c r="F68" s="404"/>
      <c r="G68" s="21">
        <v>185</v>
      </c>
      <c r="H68" s="22"/>
      <c r="I68" s="85">
        <f>IF(I66&lt;0,-I66,0)</f>
        <v>0</v>
      </c>
      <c r="J68" s="85">
        <f>IF(J66&lt;0,-J66,0)</f>
        <v>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59" activePane="bottomLeft" state="frozen"/>
      <selection pane="topLeft" activeCell="A1" sqref="A1"/>
      <selection pane="bottomLeft" activeCell="H1" sqref="H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0</v>
      </c>
      <c r="R1" s="73" t="s">
        <v>539</v>
      </c>
    </row>
    <row r="2" spans="1:18" s="2" customFormat="1" ht="19.5" customHeight="1">
      <c r="A2" s="432" t="s">
        <v>568</v>
      </c>
      <c r="B2" s="433"/>
      <c r="C2" s="433"/>
      <c r="D2" s="433"/>
      <c r="E2" s="433"/>
      <c r="F2" s="433"/>
      <c r="G2" s="433"/>
      <c r="H2" s="433"/>
      <c r="I2" s="434"/>
      <c r="J2" s="388" t="s">
        <v>2593</v>
      </c>
      <c r="Q2" s="74">
        <f>IF(MAX(I9:I88)&gt;0,1,0)</f>
        <v>0</v>
      </c>
      <c r="R2" s="73" t="s">
        <v>2586</v>
      </c>
    </row>
    <row r="3" spans="1:18" s="2" customFormat="1" ht="19.5" customHeight="1" thickBot="1">
      <c r="A3" s="435" t="str">
        <f>"za razdoblje "&amp;IF(RefStr!C4&lt;&gt;"",TEXT(RefStr!C4,"DD.MM.YYYY."),"__.__.____.")&amp;" do "&amp;IF(RefStr!F4&lt;&gt;"",TEXT(RefStr!F4,"DD.MM.YYYY."),"__.__.____.")</f>
        <v>za razdoblje 01.01.2019. do 31.12.2019.</v>
      </c>
      <c r="B3" s="436"/>
      <c r="C3" s="436"/>
      <c r="D3" s="436"/>
      <c r="E3" s="436"/>
      <c r="F3" s="436"/>
      <c r="G3" s="436"/>
      <c r="H3" s="436"/>
      <c r="I3" s="437"/>
      <c r="J3" s="422"/>
      <c r="Q3" s="74">
        <f>IF(MAX(J9:J88)&gt;0,1,0)</f>
        <v>0</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31407797858; IVKOM DD</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c r="J25" s="94"/>
    </row>
    <row r="26" spans="1:10" s="2" customFormat="1" ht="24.75" customHeight="1">
      <c r="A26" s="403" t="s">
        <v>2215</v>
      </c>
      <c r="B26" s="403"/>
      <c r="C26" s="403"/>
      <c r="D26" s="403"/>
      <c r="E26" s="403"/>
      <c r="F26" s="403"/>
      <c r="G26" s="443"/>
      <c r="H26" s="19">
        <v>232</v>
      </c>
      <c r="I26" s="77"/>
      <c r="J26" s="77"/>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c r="J35" s="78"/>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c r="J37" s="94"/>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c r="J50" s="77"/>
    </row>
    <row r="51" spans="1:10" s="2" customFormat="1" ht="24.75" customHeight="1">
      <c r="A51" s="403" t="s">
        <v>2219</v>
      </c>
      <c r="B51" s="403"/>
      <c r="C51" s="403"/>
      <c r="D51" s="403"/>
      <c r="E51" s="403"/>
      <c r="F51" s="403"/>
      <c r="G51" s="443"/>
      <c r="H51" s="19">
        <v>253</v>
      </c>
      <c r="I51" s="77"/>
      <c r="J51" s="77"/>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c r="J57" s="77"/>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c r="J60" s="77"/>
    </row>
    <row r="61" spans="1:10" s="2" customFormat="1" ht="13.5" customHeight="1">
      <c r="A61" s="444" t="s">
        <v>2445</v>
      </c>
      <c r="B61" s="444"/>
      <c r="C61" s="444"/>
      <c r="D61" s="444"/>
      <c r="E61" s="444"/>
      <c r="F61" s="444"/>
      <c r="G61" s="445"/>
      <c r="H61" s="19">
        <v>263</v>
      </c>
      <c r="I61" s="77"/>
      <c r="J61" s="77"/>
    </row>
    <row r="62" spans="1:10" s="2" customFormat="1" ht="13.5" customHeight="1">
      <c r="A62" s="403" t="s">
        <v>2439</v>
      </c>
      <c r="B62" s="403"/>
      <c r="C62" s="403"/>
      <c r="D62" s="403"/>
      <c r="E62" s="403"/>
      <c r="F62" s="403"/>
      <c r="G62" s="443"/>
      <c r="H62" s="19">
        <v>264</v>
      </c>
      <c r="I62" s="77"/>
      <c r="J62" s="77"/>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c r="J65" s="77"/>
    </row>
    <row r="66" spans="1:10" s="2" customFormat="1" ht="13.5" customHeight="1">
      <c r="A66" s="444" t="s">
        <v>2903</v>
      </c>
      <c r="B66" s="444"/>
      <c r="C66" s="444"/>
      <c r="D66" s="444"/>
      <c r="E66" s="444"/>
      <c r="F66" s="444"/>
      <c r="G66" s="445"/>
      <c r="H66" s="19">
        <v>268</v>
      </c>
      <c r="I66" s="77"/>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c r="J73" s="94"/>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c r="J76" s="78"/>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0</v>
      </c>
      <c r="J78" s="228">
        <f>SUM(J79:J82)</f>
        <v>0</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c r="J80" s="77"/>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01.01.2019. do 31.12.2019.</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31407797858; IVKOM DD</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I1" sqref="I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01.01.2019. do 31.12.2019.</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31407797858; IVKOM DD</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tabSelected="1"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01.01.2019. do 31.12.2019.</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31407797858; IVKOM DD</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Brankica Kušen</cp:lastModifiedBy>
  <cp:lastPrinted>2020-09-08T07:19:04Z</cp:lastPrinted>
  <dcterms:created xsi:type="dcterms:W3CDTF">2008-10-17T11:51:54Z</dcterms:created>
  <dcterms:modified xsi:type="dcterms:W3CDTF">2020-09-08T07:21:02Z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