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8"/>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<sst xmlns="http://schemas.openxmlformats.org/spreadsheetml/2006/main" count="4927" uniqueCount="2988">
  <si>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</si>
  <si>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</si>
  <si>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</si>
  <si>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</si>
  <si>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</si>
  <si>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</si>
  <si>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</si>
  <si>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</si>
  <si>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</si>
  <si>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</si>
  <si>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</si>
  <si>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</si>
  <si>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</si>
  <si>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</si>
  <si>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</si>
  <si>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</si>
  <si>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</si>
  <si>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</si>
  <si>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</si>
  <si>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</si>
  <si>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</si>
  <si>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</si>
  <si>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</si>
  <si>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</si>
  <si>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</si>
  <si>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</si>
  <si>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</si>
  <si>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</si>
  <si>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</si>
  <si>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</si>
  <si>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</si>
  <si>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</si>
  <si>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</si>
  <si>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</si>
  <si>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</si>
  <si>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</si>
  <si>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</si>
  <si>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</si>
  <si>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</si>
  <si>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</si>
  <si>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</si>
  <si>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</si>
  <si>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</si>
  <si>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</si>
  <si>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</si>
  <si>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</si>
  <si>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</si>
  <si>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</si>
  <si>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</si>
  <si>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</si>
  <si>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</si>
  <si>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</si>
  <si>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</si>
  <si>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</si>
  <si>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</si>
  <si>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</si>
  <si>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</si>
  <si>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</si>
  <si>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</si>
  <si>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</si>
  <si>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</si>
  <si>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</si>
  <si>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</si>
  <si>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</si>
  <si>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</si>
  <si>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</si>
  <si>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</si>
  <si>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</si>
  <si>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</si>
  <si>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</si>
  <si>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</si>
  <si>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</si>
  <si>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</si>
  <si>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</si>
  <si>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</si>
  <si>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</si>
  <si>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</si>
  <si>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</si>
  <si>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</si>
  <si>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</si>
  <si>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</si>
  <si>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</si>
  <si>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</si>
  <si>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</si>
  <si>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</si>
  <si>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</si>
  <si>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</si>
  <si>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</si>
  <si>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</si>
  <si>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</si>
  <si>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</si>
  <si>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</si>
  <si>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</si>
  <si>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</si>
  <si>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</si>
  <si>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</si>
  <si>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</si>
  <si>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</si>
  <si>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</si>
  <si>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</si>
  <si>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</si>
  <si>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</si>
  <si>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</si>
  <si>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</si>
  <si>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</si>
  <si>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</si>
  <si>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</si>
  <si>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</si>
  <si>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</si>
  <si>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</si>
  <si>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</si>
  <si>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</si>
  <si>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</si>
  <si>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</si>
  <si>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</si>
  <si>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</si>
  <si>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</si>
  <si>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</si>
  <si>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</si>
  <si>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</si>
  <si>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</si>
  <si>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</si>
  <si>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</si>
  <si>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</si>
  <si>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</si>
  <si>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</si>
  <si>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</si>
  <si>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</si>
  <si>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</si>
  <si>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</si>
  <si>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</si>
  <si>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</si>
  <si>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</si>
  <si>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</si>
  <si>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</si>
  <si>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</si>
  <si>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</si>
  <si>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</si>
  <si>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</si>
  <si>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</si>
  <si>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</si>
  <si>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</si>
  <si>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</si>
  <si>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</si>
  <si>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</si>
  <si>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</si>
  <si>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</si>
  <si>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</si>
  <si>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</si>
  <si>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</si>
  <si>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</si>
  <si>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</si>
  <si>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</si>
  <si>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</si>
  <si>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</si>
  <si>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</si>
  <si>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</si>
  <si>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</si>
  <si>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</si>
  <si>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</si>
  <si>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</si>
  <si>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</si>
  <si>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</si>
  <si>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</si>
  <si>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</si>
  <si>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</si>
  <si>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</si>
  <si>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</si>
  <si>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</si>
  <si>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</si>
  <si>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</si>
  <si>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</si>
  <si>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</si>
  <si>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</si>
  <si>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</si>
  <si>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</si>
  <si>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</si>
  <si>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</si>
  <si>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</si>
  <si>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</si>
  <si>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</si>
  <si>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</si>
  <si>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</si>
  <si>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</si>
  <si>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</si>
  <si>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</si>
  <si>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</si>
  <si>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</si>
  <si>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</si>
  <si>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</si>
  <si>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</si>
  <si>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</si>
  <si>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</si>
  <si>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</si>
  <si>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</si>
  <si>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</si>
  <si>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</si>
  <si>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</si>
  <si>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</si>
  <si>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</si>
  <si>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</si>
  <si>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</si>
  <si>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</si>
  <si>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</si>
  <si>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</si>
  <si>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</si>
  <si>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</si>
  <si>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</si>
  <si>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</si>
  <si>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</si>
  <si>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</si>
  <si>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</si>
  <si>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</si>
  <si>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</si>
  <si>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</si>
  <si>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</si>
  <si>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</si>
  <si>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</si>
  <si>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</si>
  <si>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</si>
  <si>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</si>
  <si>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</si>
  <si>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</si>
  <si>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</si>
  <si>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</si>
  <si>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</si>
  <si>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</si>
  <si>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</si>
  <si>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</si>
  <si>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</si>
  <si>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</si>
  <si>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</si>
  <si>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</si>
  <si>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</si>
  <si>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</si>
  <si>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</si>
  <si>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</si>
  <si>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</si>
  <si>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</si>
  <si>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</si>
  <si>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</si>
  <si>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</si>
  <si>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</si>
  <si>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</si>
  <si>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</si>
  <si>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</si>
  <si>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</si>
  <si>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</si>
  <si>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</si>
  <si>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</si>
  <si>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</si>
  <si>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</si>
  <si>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</si>
  <si>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</si>
  <si>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</si>
  <si>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</si>
  <si>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</si>
  <si>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</si>
  <si>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</si>
  <si>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</si>
  <si>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</si>
  <si>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</si>
  <si>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</si>
  <si>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</si>
  <si>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</si>
  <si>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</si>
  <si>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</si>
  <si>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</si>
  <si>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</si>
  <si>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</si>
  <si>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</si>
  <si>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</si>
  <si>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</si>
  <si>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</si>
  <si>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</si>
  <si>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</si>
  <si>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</si>
  <si>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</si>
  <si>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</si>
  <si>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</si>
  <si>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</si>
  <si>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</si>
  <si>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</si>
  <si>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</si>
  <si>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</si>
  <si>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</si>
  <si>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</si>
  <si>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</si>
  <si>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</si>
  <si>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</si>
  <si>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</si>
  <si>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</si>
  <si>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</si>
  <si>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</si>
  <si>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</si>
  <si>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</si>
  <si>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</si>
  <si>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</si>
  <si>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</si>
  <si>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</si>
  <si>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</si>
  <si>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</si>
  <si>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</si>
  <si>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</si>
  <si>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</si>
  <si>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</si>
  <si>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</si>
  <si>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</si>
  <si>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</si>
  <si>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</si>
  <si>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</si>
  <si>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</si>
  <si>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</si>
  <si>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</si>
  <si>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</si>
  <si>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</si>
  <si>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</si>
  <si>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</si>
  <si>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</si>
  <si>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</si>
  <si>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</si>
  <si>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</si>
  <si>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</si>
  <si>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</si>
  <si>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</si>
  <si>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</si>
  <si>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</si>
  <si>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</si>
  <si>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</si>
  <si>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</si>
  <si>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</si>
  <si>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</si>
  <si>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</si>
  <si>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</si>
  <si>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</si>
  <si>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</si>
  <si>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</si>
  <si>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</si>
  <si>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</si>
  <si>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</si>
  <si>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</si>
  <si>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</si>
  <si>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</si>
  <si>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</si>
  <si>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</si>
  <si>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</si>
  <si>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</si>
  <si>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</si>
  <si>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</si>
  <si>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</si>
  <si>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</si>
  <si>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</si>
  <si>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</si>
  <si>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</si>
  <si>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</si>
  <si>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</si>
  <si>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</si>
  <si>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</si>
  <si>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</si>
  <si>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</si>
  <si>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</si>
  <si>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</si>
  <si>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</si>
  <si>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</si>
  <si>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</si>
  <si>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</si>
  <si>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</si>
  <si>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</si>
  <si>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</si>
  <si>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</si>
  <si>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</si>
  <si>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</si>
  <si>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</si>
  <si>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</si>
  <si>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</si>
  <si>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</si>
  <si>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</si>
  <si>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</si>
  <si>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</si>
  <si>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</si>
  <si>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</si>
  <si>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</si>
  <si>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</si>
  <si>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</si>
  <si>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</si>
  <si>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</si>
  <si>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</si>
  <si>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</si>
  <si>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</si>
  <si>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</si>
  <si>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</si>
  <si>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</si>
  <si>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</si>
  <si>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</si>
  <si>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</si>
  <si>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</si>
  <si>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</si>
  <si>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</si>
  <si>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</si>
  <si>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</si>
  <si>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</si>
  <si>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</si>
  <si>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</si>
  <si>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</si>
  <si>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</si>
  <si>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</si>
  <si>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</si>
  <si>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</si>
  <si>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</si>
  <si>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</si>
  <si>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</si>
  <si>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</si>
  <si>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</si>
  <si>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</si>
  <si>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</si>
  <si>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</si>
  <si>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</si>
  <si>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</si>
  <si>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</si>
  <si>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</si>
  <si>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</si>
  <si>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</si>
  <si>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</si>
  <si>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</si>
  <si>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</si>
  <si>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</si>
  <si>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</si>
  <si>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</si>
  <si>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</si>
  <si>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</si>
  <si>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</si>
  <si>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</si>
  <si>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</si>
  <si>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</si>
  <si>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</si>
  <si>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</si>
  <si>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</si>
  <si>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</si>
  <si>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</si>
  <si>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</si>
  <si>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</si>
  <si>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</si>
  <si>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</si>
  <si>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</si>
  <si>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</si>
  <si>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</si>
  <si>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</si>
  <si>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</si>
  <si>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</si>
  <si>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</si>
  <si>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</si>
  <si>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</si>
  <si>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</si>
  <si>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</si>
  <si>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</si>
  <si>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</si>
  <si>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</si>
  <si>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</si>
  <si>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</si>
  <si>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</si>
  <si>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</si>
  <si>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</si>
  <si>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</si>
  <si>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</si>
  <si>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</si>
  <si>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</si>
  <si>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</si>
  <si>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</si>
  <si>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</si>
  <si>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</si>
  <si>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</si>
  <si>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</si>
  <si>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</si>
  <si>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</si>
  <si>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</si>
  <si>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</si>
  <si>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</si>
  <si>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</si>
  <si>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</si>
  <si>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</si>
  <si>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</si>
  <si>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</si>
  <si>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</si>
  <si>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</si>
  <si>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</si>
  <si>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</si>
  <si>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</si>
  <si>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</si>
  <si>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</si>
  <si>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</si>
  <si>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</si>
  <si>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</si>
  <si>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</si>
  <si>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</si>
  <si>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</si>
  <si>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</si>
  <si>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</si>
  <si>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</si>
  <si>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</si>
  <si>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</si>
  <si>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</si>
  <si>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</si>
  <si>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</si>
  <si>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</si>
  <si>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</si>
  <si>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</si>
  <si>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</si>
  <si>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</si>
  <si>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</si>
  <si>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</si>
  <si>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</si>
  <si>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</si>
  <si>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</si>
  <si>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</si>
  <si>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</si>
  <si>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</si>
  <si>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</si>
  <si>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</si>
  <si>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</si>
  <si>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</si>
  <si>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</si>
  <si>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</si>
  <si>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</si>
  <si>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</si>
  <si>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</si>
  <si>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</si>
  <si>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</si>
  <si>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</si>
  <si>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</si>
  <si>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</si>
  <si>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</si>
  <si>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</si>
  <si>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</si>
  <si>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</si>
  <si>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</si>
  <si>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</si>
  <si>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</si>
  <si>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</si>
  <si>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</si>
  <si>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</si>
  <si>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</si>
  <si>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</si>
  <si>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</si>
  <si>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</si>
  <si>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</si>
  <si>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</si>
  <si>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</si>
  <si>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</si>
  <si>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</si>
  <si>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</si>
  <si>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</si>
  <si>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</si>
  <si>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</si>
  <si>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</si>
  <si>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</si>
  <si>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</si>
  <si>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</si>
  <si>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</si>
  <si>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</si>
  <si>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</si>
  <si>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</si>
  <si>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</si>
  <si>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</si>
  <si>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</si>
  <si>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</si>
  <si>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</si>
  <si>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</si>
  <si>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</si>
  <si>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</si>
  <si>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</si>
  <si>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</si>
  <si>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</si>
  <si>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</si>
  <si>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</si>
  <si>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</si>
  <si>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</si>
  <si>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</si>
  <si>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</si>
  <si>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</si>
  <si>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</si>
  <si>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</si>
  <si>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</si>
  <si>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</si>
  <si>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</si>
  <si>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</si>
  <si>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</si>
  <si>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</si>
  <si>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</si>
  <si>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</si>
  <si>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</si>
  <si>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</si>
  <si>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</si>
  <si>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</si>
  <si>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</si>
  <si>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</si>
  <si>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</si>
  <si>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</si>
  <si>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</si>
  <si>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</si>
  <si>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</si>
  <si>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</si>
  <si>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</si>
  <si>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</si>
  <si>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</si>
  <si>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</si>
  <si>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</si>
  <si>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</si>
  <si>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</si>
  <si>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</si>
  <si>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</si>
  <si>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</si>
  <si>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</si>
  <si>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</si>
  <si>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</si>
  <si>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</si>
  <si>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</si>
  <si>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</si>
  <si>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</si>
  <si>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</si>
  <si>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</si>
  <si>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</si>
  <si>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</si>
  <si>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</si>
  <si>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</si>
  <si>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</si>
  <si>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</si>
  <si>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</si>
  <si>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</si>
  <si>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</si>
  <si>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</si>
  <si>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</si>
  <si>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</si>
  <si>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</si>
  <si>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</si>
  <si>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</si>
  <si>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</si>
  <si>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</si>
  <si>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</si>
  <si>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</si>
  <si>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</si>
  <si>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</si>
  <si>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</si>
  <si>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</si>
  <si>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</si>
  <si>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</si>
  <si>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</si>
  <si>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</si>
  <si>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</si>
  <si>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</si>
  <si>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</si>
  <si>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</si>
  <si>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</si>
  <si>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</si>
  <si>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</si>
  <si>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</si>
  <si>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</si>
  <si>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</si>
  <si>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</si>
  <si>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</si>
  <si>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</si>
  <si>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</si>
  <si>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</si>
  <si>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</si>
  <si>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</si>
  <si>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</si>
  <si>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</si>
  <si>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</si>
  <si>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</si>
  <si>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</si>
  <si>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</si>
  <si>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</si>
  <si>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</si>
  <si>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</si>
  <si>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</si>
  <si>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</si>
  <si>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</si>
  <si>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</si>
  <si>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</si>
  <si>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</si>
  <si>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</si>
  <si>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</si>
  <si>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</si>
  <si>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</si>
  <si>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</si>
  <si>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</si>
  <si>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</si>
  <si>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</si>
  <si>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</si>
  <si>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</si>
  <si>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</si>
  <si>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</si>
  <si>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</si>
  <si>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</si>
  <si>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</si>
  <si>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</si>
  <si>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</si>
  <si>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</si>
  <si>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</si>
  <si>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</si>
  <si>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</si>
  <si>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</si>
  <si>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</si>
  <si>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</si>
  <si>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</si>
  <si>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</si>
  <si>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</si>
  <si>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</si>
  <si>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</si>
  <si>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</si>
  <si>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</si>
  <si>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</si>
  <si>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</si>
  <si>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</si>
  <si>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</si>
  <si>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</si>
  <si>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</si>
  <si>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</si>
  <si>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</si>
  <si>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</si>
  <si>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</si>
  <si>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</si>
  <si>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</si>
  <si>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</si>
  <si>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</si>
  <si>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</si>
  <si>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</si>
  <si>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</si>
  <si>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</si>
  <si>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</si>
  <si>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</si>
  <si>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</si>
  <si>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</si>
  <si>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</si>
  <si>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</si>
  <si>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</si>
  <si>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</si>
  <si>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</si>
  <si>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</si>
  <si>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</si>
  <si>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</si>
  <si>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</si>
  <si>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</si>
  <si>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</si>
  <si>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</si>
  <si>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</si>
  <si>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</si>
  <si>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</si>
  <si>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</si>
  <si>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</si>
  <si>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</si>
  <si>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</si>
  <si>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</si>
  <si>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</si>
  <si>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</si>
  <si>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</si>
  <si>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</si>
  <si>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</si>
  <si>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</si>
  <si>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</si>
  <si>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</si>
  <si>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</si>
  <si>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</si>
  <si>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</si>
  <si>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</si>
  <si>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</si>
  <si>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</si>
  <si>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</si>
  <si>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</si>
  <si>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</si>
  <si>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</si>
  <si>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</si>
  <si>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</si>
  <si>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</si>
  <si>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</si>
  <si>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</si>
  <si>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</si>
  <si>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</si>
  <si>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</si>
  <si>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</si>
  <si>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</si>
  <si>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</si>
  <si>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</si>
  <si>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</si>
  <si>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</si>
  <si>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</si>
  <si>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</si>
  <si>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</si>
  <si>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</si>
  <si>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</si>
  <si>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</si>
  <si>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</si>
  <si>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</si>
  <si>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</si>
  <si>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</si>
  <si>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</si>
  <si>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</si>
  <si>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</si>
  <si>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</si>
  <si>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</si>
  <si>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</si>
  <si>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</si>
  <si>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</si>
  <si>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</si>
  <si>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</si>
  <si>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</si>
  <si>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</si>
  <si>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</si>
  <si>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</si>
  <si>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</si>
  <si>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</si>
  <si>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</si>
  <si>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</si>
  <si>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</si>
  <si>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</si>
  <si>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</si>
  <si>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</si>
  <si>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</si>
  <si>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</si>
  <si>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</si>
  <si>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</si>
  <si>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</si>
  <si>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</si>
  <si>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</si>
  <si>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</si>
  <si>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</si>
  <si>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</si>
  <si>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</si>
  <si>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</si>
  <si>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</si>
  <si>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</si>
  <si>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</si>
  <si>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</si>
  <si>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</si>
  <si>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</si>
  <si>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</si>
  <si>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</si>
  <si>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</si>
  <si>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</si>
  <si>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</si>
  <si>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</si>
  <si>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</si>
  <si>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</si>
  <si>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</si>
  <si>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</si>
  <si>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</si>
  <si>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</si>
  <si>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</si>
  <si>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</si>
  <si>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</si>
  <si>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</si>
  <si>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</si>
  <si>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</si>
  <si>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</si>
  <si>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</si>
  <si>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</si>
  <si>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</si>
  <si>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</si>
  <si>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</si>
  <si>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</si>
  <si>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</si>
  <si>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</si>
  <si>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</si>
  <si>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</si>
  <si>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</si>
  <si>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</si>
  <si>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</si>
  <si>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</si>
  <si>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</si>
  <si>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</si>
  <si>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</si>
  <si>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</si>
  <si>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</si>
  <si>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</si>
  <si>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</si>
  <si>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</si>
  <si>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</si>
  <si>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</si>
  <si>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</si>
  <si>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</si>
  <si>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</si>
  <si>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</si>
  <si>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</si>
  <si>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</si>
  <si>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</si>
  <si>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</si>
  <si>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</si>
  <si>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</si>
  <si>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</si>
  <si>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</si>
  <si>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</si>
  <si>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</si>
  <si>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</si>
  <si>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</si>
  <si>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</si>
  <si>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</si>
  <si>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</si>
  <si>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</si>
  <si>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</si>
  <si>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</si>
  <si>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</si>
  <si>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</si>
  <si>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</si>
  <si>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</si>
  <si>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</si>
  <si>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</si>
  <si>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</si>
  <si>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</si>
  <si>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</si>
  <si>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</si>
  <si>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</si>
  <si>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</si>
  <si>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</si>
  <si>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</si>
  <si>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</si>
  <si>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</si>
  <si>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</si>
  <si>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</si>
  <si>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</si>
  <si>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</si>
  <si>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</si>
  <si>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</si>
  <si>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</si>
  <si>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</si>
  <si>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</si>
  <si>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</si>
  <si>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</si>
  <si>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</si>
  <si>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</si>
  <si>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</si>
  <si>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</si>
  <si>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</si>
  <si>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</si>
  <si>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</si>
  <si>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</si>
  <si>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</si>
  <si>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</si>
  <si>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</si>
  <si>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</si>
  <si>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</si>
  <si>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</si>
  <si>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</si>
  <si>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</si>
  <si>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</si>
  <si>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</si>
  <si>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</si>
  <si>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</si>
  <si>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</si>
  <si>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</si>
  <si>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</si>
  <si>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</si>
  <si>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</si>
  <si>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</si>
  <si>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</si>
  <si>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</si>
  <si>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</si>
  <si>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</si>
  <si>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</si>
  <si>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</si>
  <si>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</si>
  <si>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</si>
  <si>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</si>
  <si>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</si>
  <si>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</si>
  <si>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</si>
  <si>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</si>
  <si>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</si>
  <si>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</si>
  <si>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</si>
  <si>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</si>
  <si>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</si>
  <si>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</si>
  <si>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</si>
  <si>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</si>
  <si>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</si>
  <si>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</si>
  <si>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</si>
  <si>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</si>
  <si>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</si>
  <si>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</si>
  <si>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</si>
  <si>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</si>
  <si>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</si>
  <si>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</si>
  <si>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</si>
  <si>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</si>
  <si>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</si>
  <si>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</si>
  <si>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</si>
  <si>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</si>
  <si>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</si>
  <si>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</si>
  <si>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</si>
  <si>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</si>
  <si>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</si>
  <si>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</si>
  <si>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</si>
  <si>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</si>
  <si>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</si>
  <si>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</si>
  <si>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</si>
  <si>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</si>
  <si>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</si>
  <si>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</si>
  <si>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</si>
  <si>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</si>
  <si>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</si>
  <si>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</si>
  <si>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</si>
  <si>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</si>
  <si>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</si>
  <si>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</si>
  <si>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</si>
  <si>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</si>
  <si>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</si>
  <si>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</si>
  <si>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</si>
  <si>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</si>
  <si>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</si>
  <si>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</si>
  <si>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</si>
  <si>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</si>
  <si>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</si>
  <si>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</si>
  <si>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</si>
  <si>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</si>
  <si>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</si>
  <si>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</si>
  <si>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</si>
  <si>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</si>
  <si>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</si>
  <si>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</si>
  <si>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</si>
  <si>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</si>
  <si>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</si>
  <si>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</si>
  <si>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</si>
  <si>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</si>
  <si>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</si>
  <si>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</si>
  <si>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</si>
  <si>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</si>
  <si>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</si>
  <si>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</si>
  <si>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</si>
  <si>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</si>
  <si>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</si>
  <si>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</si>
  <si>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</si>
  <si>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</si>
  <si>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</si>
  <si>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</si>
  <si>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</si>
  <si>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</si>
  <si>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</si>
  <si>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</si>
  <si>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</si>
  <si>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</si>
  <si>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</si>
  <si>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</si>
  <si>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</si>
  <si>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</si>
  <si>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</si>
  <si>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</si>
  <si>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</si>
  <si>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</si>
  <si>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</si>
  <si>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</si>
  <si>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</si>
  <si>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</si>
  <si>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</si>
  <si>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</si>
  <si>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</si>
  <si>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</si>
  <si>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</si>
  <si>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</si>
  <si>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</si>
  <si>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</si>
  <si>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</si>
  <si>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</si>
  <si>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</si>
  <si>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</si>
  <si>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</si>
  <si>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</si>
  <si>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</si>
  <si>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</si>
  <si>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</si>
  <si>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</si>
  <si>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</si>
  <si>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</si>
  <si>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</si>
  <si>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</si>
  <si>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</si>
  <si>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</si>
  <si>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</si>
  <si>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</si>
  <si>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</si>
  <si>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</si>
  <si>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</si>
  <si>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</si>
  <si>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</si>
  <si>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</si>
  <si>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</si>
  <si>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</si>
  <si>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</si>
  <si>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</si>
  <si>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</si>
  <si>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</si>
  <si>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</si>
  <si>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</si>
  <si>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</si>
  <si>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</si>
  <si>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</si>
  <si>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</si>
  <si>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</si>
  <si>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</si>
  <si>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</si>
  <si>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</si>
  <si>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</si>
  <si>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</si>
  <si>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</si>
  <si>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</si>
  <si>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</si>
  <si>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</si>
  <si>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</si>
  <si>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</si>
  <si>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</si>
  <si>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</si>
  <si>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</si>
  <si>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</si>
  <si>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</si>
  <si>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</si>
  <si>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</si>
  <si>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</si>
  <si>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</si>
  <si>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</si>
  <si>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</si>
  <si>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</si>
  <si>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</si>
  <si>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</si>
  <si>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</si>
  <si>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</si>
  <si>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</si>
  <si>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</si>
  <si>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</si>
  <si>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</si>
  <si>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</si>
  <si>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</si>
  <si>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</si>
  <si>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</si>
  <si>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</si>
  <si>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</si>
  <si>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</si>
  <si>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</si>
  <si>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</si>
  <si>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</si>
  <si>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</si>
  <si>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</si>
  <si>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</si>
  <si>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</si>
  <si>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</si>
  <si>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</si>
  <si>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</si>
  <si>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</si>
  <si>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</si>
  <si>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</si>
  <si>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</si>
  <si>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</si>
  <si>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</si>
  <si>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</si>
  <si>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</si>
  <si>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</si>
  <si>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</si>
  <si>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</si>
  <si>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</si>
  <si>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</si>
  <si>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</si>
  <si>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</si>
  <si>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</si>
  <si>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</si>
  <si>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</si>
  <si>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</si>
  <si>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</si>
  <si>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</si>
  <si>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</si>
  <si>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</si>
  <si>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</si>
  <si>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</si>
  <si>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</si>
  <si>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</si>
  <si>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</si>
  <si>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</si>
  <si>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</si>
  <si>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</si>
  <si>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</si>
  <si>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</si>
  <si>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</si>
  <si>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</si>
  <si>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</si>
  <si>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</si>
  <si>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</si>
  <si>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</si>
  <si>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</si>
  <si>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</si>
  <si>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</si>
  <si>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</si>
  <si>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</si>
  <si>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</si>
  <si>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</si>
  <si>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</si>
  <si>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</si>
  <si>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</si>
  <si>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</si>
  <si>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</si>
  <si>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</si>
  <si>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</si>
  <si>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</si>
  <si>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</si>
  <si>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</si>
  <si>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</si>
  <si>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</si>
  <si>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</si>
  <si>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</si>
  <si>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</si>
  <si>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</si>
  <si>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</si>
  <si>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</si>
  <si>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</si>
  <si>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</si>
  <si>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</si>
  <si>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</si>
  <si>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</si>
  <si>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</si>
  <si>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</si>
  <si>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</si>
  <si>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</si>
  <si>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</si>
  <si>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</si>
  <si>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</si>
  <si>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</si>
  <si>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</si>
  <si>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</si>
  <si>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</si>
  <si>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</si>
  <si>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</si>
  <si>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</si>
  <si>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</si>
  <si>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</si>
  <si>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</si>
  <si>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</si>
  <si>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</si>
  <si>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</si>
  <si>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</si>
  <si>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</si>
  <si>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</si>
  <si>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</si>
  <si>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</si>
  <si>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</si>
  <si>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</si>
  <si>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</si>
  <si>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</si>
  <si>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</si>
  <si>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</si>
  <si>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</si>
  <si>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</si>
  <si>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</si>
  <si>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</si>
  <si>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</si>
  <si>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</si>
  <si>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</si>
  <si>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</si>
  <si>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</si>
  <si>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</si>
  <si>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</si>
  <si>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</si>
  <si>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</si>
  <si>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</si>
  <si>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</si>
  <si>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</si>
  <si>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</si>
  <si>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</si>
  <si>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</si>
  <si>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</si>
  <si>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</si>
  <si>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</si>
  <si>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</si>
  <si>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</si>
  <si>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</si>
  <si>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</si>
  <si>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</si>
  <si>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</si>
  <si>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</si>
  <si>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</si>
  <si>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</si>
  <si>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</si>
  <si>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</si>
  <si>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</si>
  <si>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</si>
  <si>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</si>
  <si>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</si>
  <si>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</si>
  <si>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</si>
  <si>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</si>
  <si>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</si>
  <si>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</si>
  <si>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</si>
  <si>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</si>
  <si>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</si>
  <si>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</si>
  <si>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</si>
  <si>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</si>
  <si>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</si>
  <si>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</si>
  <si>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</si>
  <si>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</si>
  <si>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</si>
  <si>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</si>
  <si>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</si>
  <si>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</si>
  <si>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</si>
  <si>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</si>
  <si>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</si>
  <si>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</si>
  <si>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</si>
  <si>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</si>
  <si>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</si>
  <si>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</si>
  <si>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</si>
  <si>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</si>
  <si>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</si>
  <si>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</si>
  <si>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</si>
  <si>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</si>
  <si>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</si>
  <si>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</si>
  <si>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</si>
  <si>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</si>
  <si>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</si>
  <si>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</si>
  <si>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</si>
  <si>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</si>
  <si>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</si>
  <si>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</si>
  <si>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</si>
  <si>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</si>
  <si>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</si>
  <si>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</si>
  <si>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</si>
  <si>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</si>
  <si>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</si>
  <si>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</si>
  <si>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</si>
  <si>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</si>
  <si>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</si>
  <si>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</si>
  <si>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</si>
  <si>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</si>
  <si>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</si>
  <si>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</si>
  <si>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</si>
  <si>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</si>
  <si>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</si>
  <si>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</si>
  <si>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</si>
  <si>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</si>
  <si>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</si>
  <si>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</si>
  <si>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</si>
  <si>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</si>
  <si>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</si>
  <si>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</si>
  <si>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</si>
  <si>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</si>
  <si>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</si>
  <si>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</si>
  <si>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</si>
  <si>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</si>
  <si>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</si>
  <si>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</si>
  <si>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</si>
  <si>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</si>
  <si>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</si>
  <si>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</si>
  <si>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</si>
  <si>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</si>
  <si>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</si>
  <si>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</si>
  <si>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</si>
  <si>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</si>
  <si>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</si>
  <si>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</si>
  <si>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</si>
  <si>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</si>
  <si>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</si>
  <si>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</si>
  <si>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</si>
  <si>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</si>
  <si>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</si>
  <si>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</si>
  <si>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</si>
  <si>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</si>
  <si>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</si>
  <si>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</si>
  <si>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</si>
  <si>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</si>
  <si>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</si>
  <si>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</si>
  <si>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</si>
  <si>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</si>
  <si>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</si>
  <si>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</si>
  <si>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</si>
  <si>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</si>
  <si>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</si>
  <si>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</si>
  <si>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</si>
  <si>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</si>
  <si>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</si>
  <si>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</si>
  <si>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</si>
  <si>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</si>
  <si>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</si>
  <si>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</si>
  <si>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</si>
  <si>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</si>
  <si>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</si>
  <si>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</si>
  <si>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</si>
  <si>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</si>
  <si>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</si>
  <si>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</si>
  <si>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</si>
  <si>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</si>
  <si>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</si>
  <si>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</si>
  <si>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</si>
  <si>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</si>
  <si>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</si>
  <si>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</si>
  <si>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</si>
  <si>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</si>
  <si>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</si>
  <si>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</si>
  <si>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</si>
  <si>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</si>
  <si>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</si>
  <si>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</si>
  <si>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</si>
  <si>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</si>
  <si>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</si>
  <si>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</si>
  <si>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</si>
  <si>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</si>
  <si>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</si>
  <si>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</si>
  <si>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</si>
  <si>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</si>
  <si>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</si>
  <si>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</si>
  <si>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</si>
  <si>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</si>
  <si>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</si>
  <si>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</si>
  <si>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</si>
  <si>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</si>
  <si>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</si>
  <si>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</si>
  <si>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</si>
  <si>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</si>
  <si>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</si>
  <si>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</si>
  <si>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</si>
  <si>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</si>
  <si>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</si>
  <si>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</si>
  <si>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</si>
  <si>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</si>
  <si>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</si>
  <si>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</si>
  <si>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</si>
  <si>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</si>
  <si>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</si>
  <si>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</si>
  <si>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</si>
  <si>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</si>
  <si>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</si>
  <si>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</si>
  <si>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</si>
  <si>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</si>
  <si>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</si>
  <si>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</si>
  <si>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</si>
  <si>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</si>
  <si>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</si>
  <si>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</si>
  <si>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</si>
  <si>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</si>
  <si>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</si>
  <si>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</si>
  <si>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</si>
  <si>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</si>
  <si>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</si>
  <si>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</si>
  <si>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</si>
  <si>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</si>
  <si>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</si>
  <si>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</si>
  <si>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</si>
  <si>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</si>
  <si>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</si>
  <si>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</si>
  <si>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</si>
  <si>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</si>
  <si>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</si>
  <si>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</si>
  <si>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</si>
  <si>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</si>
  <si>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</si>
  <si>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</si>
  <si>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</si>
  <si>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</si>
  <si>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</si>
  <si>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</si>
  <si>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</si>
  <si>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</si>
  <si>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</si>
  <si>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</si>
  <si>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</si>
  <si>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</si>
  <si>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</si>
  <si>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</si>
  <si>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</si>
  <si>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</si>
  <si>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</si>
  <si>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</si>
  <si>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</si>
  <si>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</si>
  <si>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</si>
  <si>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</si>
  <si>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</si>
  <si>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</si>
  <si>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</si>
  <si>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</si>
  <si>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</si>
  <si>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</si>
  <si>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</si>
  <si>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</si>
  <si>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</si>
  <si>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</si>
  <si>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</si>
  <si>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</si>
  <si>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</si>
  <si>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</si>
  <si>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</si>
  <si>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</si>
  <si>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</si>
  <si>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</si>
  <si>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</si>
  <si>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</si>
  <si>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</si>
  <si>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</si>
  <si>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</si>
  <si>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</si>
  <si>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</si>
  <si>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</si>
  <si>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</si>
  <si>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</si>
  <si>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</si>
  <si>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</si>
  <si>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</si>
  <si>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</si>
  <si>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</si>
  <si>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</si>
  <si>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</si>
  <si>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</si>
  <si>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</si>
  <si>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</si>
  <si>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</si>
  <si>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</si>
  <si>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</si>
  <si>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</si>
  <si>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</si>
  <si>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</si>
  <si>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</si>
  <si>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</si>
  <si>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</si>
  <si>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</si>
  <si>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</si>
  <si>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</si>
  <si>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</si>
  <si>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</si>
  <si>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</si>
  <si>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</si>
  <si>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</si>
  <si>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</si>
  <si>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</si>
  <si>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</si>
  <si>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</si>
  <si>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</si>
  <si>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</si>
  <si>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</si>
  <si>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</si>
  <si>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</si>
  <si>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</si>
  <si>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</si>
  <si>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</si>
  <si>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</si>
  <si>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</si>
  <si>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</si>
  <si>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</si>
  <si>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</si>
  <si>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</si>
  <si>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</si>
  <si>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</si>
  <si>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</si>
  <si>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</si>
  <si>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</si>
  <si>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</si>
  <si>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</si>
  <si>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</si>
  <si>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</si>
  <si>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</si>
  <si>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</si>
  <si>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</si>
  <si>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</si>
  <si>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</si>
  <si>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</si>
  <si>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</si>
  <si>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</si>
  <si>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</si>
  <si>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</si>
  <si>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</si>
  <si>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</si>
  <si>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</si>
  <si>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</si>
  <si>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</si>
  <si>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</si>
  <si>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</si>
  <si>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</si>
  <si>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</si>
  <si>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</si>
  <si>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</si>
  <si>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</si>
  <si>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</si>
  <si>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</si>
  <si>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</si>
  <si>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</si>
  <si>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</si>
  <si>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</si>
  <si>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</si>
  <si>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</si>
  <si>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</si>
  <si>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</si>
  <si>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</si>
  <si>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</si>
  <si>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</si>
  <si>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</si>
  <si>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</si>
  <si>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</si>
  <si>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</si>
  <si>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</si>
  <si>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</si>
  <si>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</si>
  <si>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</si>
  <si>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</si>
  <si>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</si>
  <si>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</si>
  <si>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</si>
  <si>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</si>
  <si>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</si>
  <si>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</si>
  <si>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</si>
  <si>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</si>
  <si>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</si>
  <si>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</si>
  <si>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</si>
  <si>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</si>
  <si>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</si>
  <si>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</si>
  <si>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</si>
  <si>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</si>
  <si>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</si>
  <si>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</si>
  <si>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</si>
  <si>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</si>
  <si>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</si>
  <si>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</si>
  <si>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</si>
  <si>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</si>
  <si>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</si>
  <si>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</si>
  <si>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</si>
  <si>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</si>
  <si>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</si>
  <si>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</si>
  <si>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</si>
  <si>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</si>
  <si>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</si>
  <si>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</si>
  <si>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</si>
  <si>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</si>
  <si>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</si>
  <si>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</si>
  <si>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</si>
  <si>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</si>
  <si>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</si>
  <si>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</si>
  <si>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</si>
  <si>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</si>
  <si>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</si>
  <si>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</si>
  <si>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</si>
  <si>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</si>
  <si>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</si>
  <si>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</si>
  <si>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</si>
  <si>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</si>
  <si>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</si>
  <si>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</si>
  <si>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</si>
  <si>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</si>
  <si>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</si>
  <si>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</si>
  <si>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</si>
  <si>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</si>
  <si>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</si>
  <si>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</si>
  <si>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</si>
  <si>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</si>
  <si>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</si>
  <si>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</si>
  <si>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</si>
  <si>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</si>
  <si>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</si>
  <si>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</si>
  <si>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</si>
  <si>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</si>
  <si>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</si>
  <si>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</si>
  <si>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</si>
  <si>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</si>
  <si>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</si>
  <si>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</si>
  <si>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</si>
  <si>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</si>
  <si>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</si>
  <si>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</si>
  <si>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</si>
  <si>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</si>
  <si>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</si>
  <si>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</si>
  <si>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</si>
  <si>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</si>
  <si>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</si>
  <si>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</si>
  <si>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</si>
  <si>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</si>
  <si>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</si>
  <si>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</si>
  <si>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</si>
  <si>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</si>
  <si>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</si>
  <si>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</si>
  <si>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</si>
  <si>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</si>
  <si>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</si>
  <si>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</si>
  <si>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</si>
  <si>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</si>
  <si>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</si>
  <si>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</si>
  <si>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</si>
  <si>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</si>
  <si>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</si>
  <si>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</si>
  <si>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</si>
  <si>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</si>
  <si>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</si>
  <si>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</si>
  <si>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</si>
  <si>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</si>
  <si>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</si>
  <si>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</si>
  <si>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</si>
  <si>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</si>
  <si>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</si>
  <si>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</si>
  <si>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</si>
  <si>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</si>
  <si>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</si>
  <si>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</si>
  <si>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</si>
  <si>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</si>
  <si>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</si>
  <si>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</si>
  <si>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</si>
  <si>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</si>
  <si>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</si>
  <si>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</si>
  <si>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</si>
  <si>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</si>
  <si>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</si>
  <si>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</si>
  <si>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</si>
  <si>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</si>
  <si>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</si>
  <si>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</si>
  <si>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</si>
  <si>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</si>
  <si>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</si>
  <si>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</si>
  <si>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</si>
  <si>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</si>
  <si>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</si>
  <si>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</si>
  <si>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</si>
  <si>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</si>
  <si>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</si>
  <si>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</si>
  <si>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</si>
  <si>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</si>
  <si>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</si>
  <si>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</si>
  <si>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</si>
  <si>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</si>
  <si>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</si>
  <si>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</si>
  <si>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</si>
  <si>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</si>
  <si>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</si>
  <si>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</si>
  <si>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</si>
  <si>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</si>
  <si>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</si>
  <si>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</si>
  <si>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</si>
  <si>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</si>
  <si>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</si>
  <si>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</si>
  <si>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</si>
  <si>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</si>
  <si>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</si>
  <si>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</si>
  <si>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</si>
  <si>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</si>
  <si>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</si>
  <si>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</si>
  <si>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</si>
  <si>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</si>
  <si>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</si>
  <si>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</si>
  <si>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</si>
  <si>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</si>
  <si>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</si>
  <si>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</si>
  <si>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</si>
  <si>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</si>
  <si>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</si>
  <si>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</si>
  <si>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</si>
  <si>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</si>
  <si>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</si>
  <si>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</si>
  <si>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</si>
  <si>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</si>
  <si>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</si>
  <si>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</si>
  <si>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</si>
  <si>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</si>
  <si>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</si>
  <si>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</si>
  <si>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</si>
  <si>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</si>
  <si>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</si>
  <si>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</si>
  <si>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</si>
  <si>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</si>
  <si>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</si>
  <si>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</si>
  <si>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</si>
  <si>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</si>
  <si>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</si>
  <si>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</si>
  <si>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</si>
  <si>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</si>
  <si>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</si>
  <si>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</si>
  <si>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</si>
  <si>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</si>
  <si>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</si>
  <si>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</si>
  <si>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</si>
  <si>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</si>
  <si>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</si>
  <si>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</si>
  <si>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</si>
  <si>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</si>
  <si>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</si>
  <si>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</si>
  <si>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</si>
  <si>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</si>
  <si>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</si>
  <si>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</si>
  <si>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</si>
  <si>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</si>
  <si>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</si>
  <si>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</si>
  <si>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</si>
  <si>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</si>
  <si>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</si>
  <si>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</si>
  <si>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</si>
  <si>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</si>
  <si>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</si>
  <si>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</si>
  <si>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</si>
  <si>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</si>
  <si>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</si>
  <si>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</si>
  <si>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</si>
  <si>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</si>
  <si>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</si>
  <si>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</si>
  <si>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</si>
  <si>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</si>
  <si>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</si>
  <si>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</si>
  <si>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</si>
  <si>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</si>
  <si>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</si>
  <si>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</si>
  <si>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</si>
  <si>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</si>
  <si>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</si>
  <si>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</si>
  <si>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</si>
  <si>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</si>
  <si>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</si>
  <si>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</si>
  <si>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</si>
  <si>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</si>
  <si>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</si>
  <si>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</si>
  <si>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</si>
  <si>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</si>
  <si>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</si>
  <si>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</si>
  <si>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</si>
  <si>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</si>
  <si>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</si>
  <si>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</si>
  <si>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</si>
  <si>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</si>
  <si>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</si>
  <si>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</si>
  <si>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</si>
  <si>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</si>
  <si>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</si>
  <si>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</si>
  <si>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</si>
  <si>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</si>
  <si>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</si>
  <si>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</si>
  <si>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</si>
  <si>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</si>
  <si>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</si>
  <si>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</si>
  <si>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</si>
  <si>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</si>
  <si>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</si>
  <si>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</si>
  <si>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</si>
  <si>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</si>
  <si>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</si>
  <si>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</si>
  <si>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</si>
  <si>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</si>
  <si>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</si>
  <si>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</si>
  <si>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</si>
  <si>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</si>
  <si>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</si>
  <si>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</si>
  <si>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</si>
  <si>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</si>
  <si>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</si>
  <si>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</si>
  <si>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</si>
  <si>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</si>
  <si>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</si>
  <si>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</si>
  <si>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</si>
  <si>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</si>
  <si>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</si>
  <si>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</si>
  <si>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</si>
  <si>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</si>
  <si>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</si>
  <si>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</si>
  <si>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</si>
  <si>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</si>
  <si>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</si>
  <si>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</si>
  <si>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</si>
  <si>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</si>
  <si>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</si>
  <si>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</si>
  <si>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</si>
  <si>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</si>
  <si>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</si>
  <si>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</si>
  <si>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</si>
  <si>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</si>
  <si>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</si>
  <si>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</si>
  <si>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</si>
  <si>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</si>
  <si>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</si>
  <si>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</si>
  <si>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</si>
  <si>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</si>
  <si>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</si>
  <si>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</si>
  <si>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</si>
  <si>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</si>
  <si>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</si>
  <si>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</si>
  <si>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</si>
  <si>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</si>
  <si>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</si>
  <si>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</si>
  <si>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</si>
  <si>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</si>
  <si>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</si>
  <si>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</si>
  <si>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</si>
  <si>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</si>
  <si>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</si>
  <si>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</si>
  <si>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</si>
  <si>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</si>
  <si>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</si>
  <si>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</si>
  <si>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</si>
  <si>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</si>
  <si>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</si>
  <si>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</si>
  <si>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</si>
  <si>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</si>
  <si>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</si>
  <si>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</si>
  <si>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</si>
  <si>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</si>
  <si>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</si>
  <si>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</si>
  <si>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</si>
  <si>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</si>
  <si>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</si>
  <si>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</si>
  <si>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</si>
  <si>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</si>
  <si>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</si>
  <si>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</si>
  <si>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</si>
  <si>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</si>
  <si>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</si>
  <si>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</si>
  <si>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</si>
  <si>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</si>
  <si>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</si>
  <si>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</si>
  <si>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</si>
  <si>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</si>
  <si>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</si>
  <si>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</si>
  <si>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</si>
  <si>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</si>
  <si>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</si>
  <si>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</si>
  <si>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</si>
  <si>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</si>
  <si>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</si>
  <si>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</si>
  <si>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</si>
  <si>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</si>
  <si>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</si>
  <si>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</si>
  <si>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</si>
  <si>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</si>
  <si>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</si>
  <si>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</si>
  <si>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</si>
  <si>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</si>
  <si>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</si>
  <si>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</si>
  <si>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</si>
  <si>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</si>
  <si>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</si>
  <si>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</si>
  <si>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</si>
  <si>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</si>
  <si>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</si>
  <si>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</si>
  <si>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</si>
  <si>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</si>
  <si>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</si>
  <si>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</si>
  <si>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</si>
  <si>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</si>
  <si>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</si>
  <si>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</si>
  <si>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</si>
  <si>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</si>
  <si>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</si>
  <si>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</si>
  <si>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</si>
  <si>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</si>
  <si>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</si>
  <si>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</si>
  <si>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</si>
  <si>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</si>
  <si>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</si>
  <si>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</si>
  <si>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</si>
  <si>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</si>
  <si>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</si>
  <si>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</si>
  <si>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</si>
  <si>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</si>
  <si>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</si>
  <si>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</si>
  <si>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</si>
  <si>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</si>
  <si>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</si>
  <si>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</si>
  <si>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</si>
  <si>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</si>
  <si>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</si>
  <si>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</si>
  <si>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</si>
  <si>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</si>
  <si>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</si>
  <si>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</si>
  <si>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</si>
  <si>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</si>
  <si>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</si>
  <si>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</si>
  <si>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</si>
  <si>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</si>
  <si>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</si>
  <si>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</si>
  <si>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</si>
  <si>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</si>
  <si>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</si>
  <si>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</si>
  <si>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</si>
  <si>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</si>
  <si>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</si>
  <si>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</si>
  <si>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</si>
  <si>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</si>
  <si>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</si>
  <si>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</si>
  <si>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</si>
  <si>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</si>
  <si>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</si>
  <si>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</si>
  <si>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</si>
  <si>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</si>
  <si>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</si>
  <si>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</si>
  <si>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</si>
  <si>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</si>
  <si>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</si>
  <si>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</si>
  <si>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</si>
  <si>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</si>
  <si>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</si>
  <si>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</si>
  <si>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</si>
  <si>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</si>
  <si>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</si>
  <si>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</si>
  <si>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</si>
  <si>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</si>
  <si>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</si>
  <si>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</si>
  <si>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</si>
  <si>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</si>
  <si>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</si>
  <si>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</si>
  <si>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</si>
  <si>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</si>
  <si>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</si>
  <si>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</si>
  <si>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</si>
  <si>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</si>
  <si>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</si>
  <si>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</si>
  <si>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</si>
  <si>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</si>
  <si>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</si>
  <si>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</si>
  <si>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</si>
  <si>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</si>
  <si>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</si>
  <si>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</si>
  <si>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</si>
  <si>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</si>
  <si>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</si>
  <si>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</si>
  <si>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</si>
  <si>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</si>
  <si>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</si>
  <si>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</si>
  <si>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</si>
  <si>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</si>
  <si>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</si>
  <si>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</si>
  <si>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</si>
  <si>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</si>
  <si>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</si>
  <si>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</si>
  <si>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</si>
  <si>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</si>
  <si>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</si>
  <si>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</si>
  <si>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</si>
  <si>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</si>
  <si>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</si>
  <si>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</si>
  <si>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</si>
  <si>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</si>
  <si>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</si>
  <si>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</si>
  <si>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</si>
  <si>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</si>
  <si>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</si>
  <si>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</si>
  <si>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</si>
  <si>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</si>
  <si>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</si>
  <si>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</si>
  <si>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</si>
  <si>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</si>
  <si>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</si>
  <si>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</si>
  <si>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</si>
  <si>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</si>
  <si>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</si>
  <si>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</si>
  <si>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</si>
  <si>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</si>
  <si>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</si>
  <si>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</si>
  <si>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</si>
  <si>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</si>
  <si>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</si>
  <si>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</si>
  <si>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</si>
  <si>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</si>
  <si>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</si>
  <si>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</si>
  <si>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</si>
  <si>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</si>
  <si>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</si>
  <si>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</si>
  <si>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</si>
  <si>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</si>
  <si>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</si>
  <si>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</si>
  <si>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</si>
  <si>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</si>
  <si>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</si>
  <si>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</si>
  <si>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</si>
  <si>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</si>
  <si>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</si>
  <si>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</si>
  <si>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</si>
  <si>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</si>
  <si>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</si>
  <si>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</si>
  <si>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</si>
  <si>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</si>
  <si>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</si>
  <si>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</si>
  <si>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</si>
  <si>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</si>
  <si>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</si>
  <si>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</si>
  <si>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</si>
  <si>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</si>
  <si>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</si>
  <si>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</si>
  <si>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</si>
  <si>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</si>
  <si>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</si>
  <si>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</si>
  <si>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</si>
  <si>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</si>
  <si>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</si>
  <si>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</si>
  <si>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</si>
  <si>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</si>
  <si>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</si>
  <si>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</si>
  <si>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</si>
  <si>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</si>
  <si>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</si>
  <si>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</si>
  <si>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</si>
  <si>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</si>
  <si>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</si>
  <si>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</si>
  <si>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</si>
  <si>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</si>
  <si>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</si>
  <si>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</si>
  <si>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</si>
  <si>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</si>
  <si>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</si>
  <si>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</si>
  <si>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</si>
  <si>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</si>
  <si>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</si>
  <si>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</si>
  <si>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</si>
  <si>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</si>
  <si>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</si>
  <si>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</si>
  <si>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</si>
  <si>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</si>
  <si>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</si>
  <si>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</si>
  <si>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</si>
  <si>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</si>
  <si>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</si>
  <si>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</si>
  <si>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</si>
  <si>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</si>
  <si>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</si>
  <si>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</si>
  <si>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</si>
  <si>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</si>
  <si>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</si>
  <si>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</si>
  <si>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</si>
  <si>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</si>
  <si>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</si>
  <si>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</si>
  <si>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</si>
  <si>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</si>
  <si>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</si>
  <si>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</si>
  <si>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</si>
  <si>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</si>
  <si>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</si>
  <si>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</si>
  <si>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</si>
  <si>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</si>
  <si>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</si>
  <si>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</si>
  <si>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</si>
  <si>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</si>
  <si>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</si>
  <si>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</si>
  <si>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</si>
  <si>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</si>
  <si>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</si>
  <si>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</si>
  <si>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</si>
  <si>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</si>
  <si>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</si>
  <si>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</si>
  <si>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</si>
  <si>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</si>
  <si>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</si>
  <si>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</si>
  <si>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</si>
  <si>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</si>
  <si>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</si>
  <si>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</si>
  <si>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</si>
  <si>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</si>
  <si>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</si>
  <si>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</si>
  <si>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</si>
  <si>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</si>
  <si>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</si>
  <si>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</si>
  <si>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</si>
  <si>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</si>
  <si>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</si>
  <si>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</si>
  <si>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</si>
  <si>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</si>
  <si>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</si>
  <si>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</si>
  <si>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</si>
  <si>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</si>
  <si>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</si>
  <si>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</si>
  <si>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</si>
  <si>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</si>
  <si>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</si>
  <si>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</si>
  <si>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</si>
  <si>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</si>
  <si>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</si>
  <si>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</si>
  <si>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</si>
  <si>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</si>
  <si>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</si>
  <si>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</si>
  <si>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</si>
  <si>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</si>
  <si>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</si>
  <si>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</si>
  <si>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</si>
  <si>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</si>
  <si>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</si>
  <si>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</si>
  <si>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</si>
  <si>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</si>
  <si>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</si>
  <si>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</si>
  <si>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</si>
  <si>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</si>
  <si>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</si>
  <si>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</si>
  <si>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</si>
  <si>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</si>
  <si>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</si>
  <si>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</si>
  <si>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</si>
  <si>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</si>
  <si>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</si>
  <si>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</si>
  <si>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</si>
  <si>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</si>
  <si>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</si>
  <si>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</si>
  <si>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</si>
  <si>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</si>
  <si>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</si>
  <si>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</si>
  <si>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</si>
  <si>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</si>
  <si>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</si>
  <si>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</si>
  <si>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</si>
  <si>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</si>
  <si>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</si>
  <si>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</si>
  <si>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</si>
  <si>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</si>
  <si>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</si>
  <si>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</si>
  <si>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</si>
  <si>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</si>
  <si>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</si>
  <si>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</si>
  <si>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</si>
  <si>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</si>
  <si>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</si>
  <si>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</si>
  <si>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</si>
  <si>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</si>
  <si>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</si>
  <si>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</si>
  <si>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</si>
  <si>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</si>
  <si>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</si>
  <si>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</si>
  <si>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</si>
  <si>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</si>
  <si>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</si>
  <si>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</si>
  <si>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</si>
  <si>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</si>
  <si>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</si>
  <si>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</si>
  <si>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</si>
  <si>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</si>
  <si>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</si>
  <si>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</si>
  <si>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</si>
  <si>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</si>
  <si>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</si>
  <si>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</si>
  <si>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</si>
  <si>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</si>
  <si>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</si>
  <si>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</si>
  <si>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</si>
  <si>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</si>
  <si>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</si>
  <si>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</si>
  <si>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</si>
  <si>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</si>
  <si>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</si>
  <si>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</si>
  <si>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</si>
  <si>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</si>
  <si>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</si>
  <si>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</si>
  <si>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</si>
  <si>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</si>
  <si>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</si>
  <si>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</si>
  <si>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</si>
  <si>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</si>
  <si>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</si>
  <si>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</si>
  <si>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</si>
  <si>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</si>
  <si>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</si>
  <si>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</si>
  <si>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</si>
  <si>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</si>
  <si>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</si>
  <si>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</si>
  <si>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</si>
  <si>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</si>
  <si>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</si>
  <si>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</si>
  <si>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</si>
  <si>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</si>
  <si>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</si>
  <si>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</si>
  <si>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</si>
  <si>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</si>
  <si>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</si>
  <si>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</si>
  <si>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</si>
  <si>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</si>
  <si>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</si>
  <si>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</si>
  <si>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</si>
  <si>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</si>
  <si>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</si>
  <si>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</si>
  <si>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</si>
  <si>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</si>
  <si>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</si>
  <si>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</si>
  <si>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</si>
  <si>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</si>
  <si>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</si>
  <si>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</si>
  <si>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</si>
  <si>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</si>
  <si>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</si>
  <si>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</si>
  <si>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</si>
  <si>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</si>
  <si>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</si>
  <si>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</si>
  <si>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</si>
  <si>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</si>
  <si>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</si>
  <si>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</si>
  <si>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</si>
  <si>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</si>
  <si>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</si>
  <si>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</si>
  <si>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</si>
  <si>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</si>
  <si>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</si>
  <si>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</si>
  <si>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</si>
  <si>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</si>
  <si>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</si>
  <si>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</si>
  <si>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</si>
  <si>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</si>
  <si>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</si>
  <si>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</si>
  <si>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</si>
  <si>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</si>
  <si>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</si>
  <si>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</si>
  <si>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</si>
  <si>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</si>
  <si>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</si>
  <si>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</si>
  <si>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</si>
  <si>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</si>
  <si>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</si>
  <si>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</si>
  <si>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</si>
  <si>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</si>
  <si>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</si>
  <si>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</si>
  <si>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</si>
  <si>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</si>
  <si>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</si>
  <si>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</si>
  <si>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</si>
  <si>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</si>
  <si>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</si>
  <si>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</si>
  <si>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</si>
  <si>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</si>
  <si>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</si>
  <si>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</si>
  <si>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</si>
  <si>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</si>
  <si>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</si>
  <si>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</si>
  <si>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</si>
  <si>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</si>
  <si>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</si>
  <si>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</si>
  <si>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</si>
  <si>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</si>
  <si>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</si>
  <si>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</si>
  <si>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</si>
  <si>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</si>
  <si>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</si>
  <si>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</si>
  <si>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</si>
  <si>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</si>
  <si>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</si>
  <si>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</si>
  <si>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</si>
  <si>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</si>
  <si>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</si>
  <si>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</si>
  <si>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</si>
  <si>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</si>
  <si>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</si>
  <si>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</si>
  <si>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</si>
  <si>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</si>
  <si>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</si>
  <si>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</si>
  <si>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</si>
  <si>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</si>
  <si>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</si>
  <si>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</si>
  <si>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</si>
  <si>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</si>
  <si>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</si>
  <si>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</si>
  <si>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</si>
  <si>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</si>
  <si>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</si>
  <si>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</si>
  <si>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</si>
  <si>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</si>
  <si>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</si>
  <si>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</si>
  <si>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</si>
  <si>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</si>
  <si>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</si>
  <si>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</si>
  <si>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</si>
  <si>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</si>
  <si>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</si>
  <si>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</si>
  <si>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</si>
  <si>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</si>
  <si>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</si>
  <si>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</si>
  <si>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</si>
  <si>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</si>
  <si>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</si>
  <si>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</si>
  <si>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</si>
  <si>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</si>
  <si>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</si>
  <si>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</si>
  <si>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</si>
  <si>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</si>
  <si>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</si>
  <si>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</si>
  <si>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</si>
  <si>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</si>
  <si>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</si>
  <si>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</si>
  <si>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</si>
  <si>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</si>
  <si>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</si>
  <si>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</si>
  <si>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</si>
  <si>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</si>
  <si>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</si>
  <si>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</si>
  <si>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</si>
  <si>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</si>
  <si>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</si>
  <si>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</si>
  <si>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</si>
  <si>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</si>
  <si>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</si>
  <si>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</si>
  <si>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</si>
  <si>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</si>
  <si>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</si>
  <si>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</si>
  <si>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</si>
  <si>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</si>
  <si>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</si>
  <si>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</si>
  <si>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</si>
  <si>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</si>
  <si>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</si>
  <si>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</si>
  <si>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</si>
  <si>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</si>
  <si>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</si>
  <si>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</si>
  <si>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</si>
  <si>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</si>
  <si>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</si>
  <si>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</si>
  <si>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</si>
  <si>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</si>
  <si>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</si>
  <si>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</si>
  <si>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</si>
  <si>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</si>
  <si>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</si>
  <si>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</si>
  <si>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</si>
  <si>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</si>
  <si>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</si>
  <si>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</si>
  <si>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</si>
  <si>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</si>
  <si>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</si>
  <si>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</si>
  <si>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</si>
  <si>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</si>
  <si>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</si>
  <si>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</si>
  <si>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</si>
  <si>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</si>
  <si>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</si>
  <si>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</si>
  <si>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</si>
  <si>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</si>
  <si>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</si>
  <si>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</si>
  <si>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</si>
  <si>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</si>
  <si>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</si>
  <si>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</si>
  <si>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</si>
  <si>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</si>
  <si>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</si>
  <si>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</si>
  <si>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</si>
  <si>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</si>
  <si>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</si>
  <si>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</si>
  <si>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</si>
  <si>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</si>
  <si>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</si>
  <si>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</si>
  <si>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</si>
  <si>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</si>
  <si>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</si>
  <si>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</si>
  <si>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</si>
  <si>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</si>
  <si>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</si>
  <si>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</si>
  <si>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</si>
  <si>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</si>
  <si>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</si>
  <si>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</si>
  <si>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</si>
  <si>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</si>
  <si>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</si>
  <si>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</si>
  <si>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</si>
  <si>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</si>
  <si>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</si>
  <si>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</si>
  <si>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</si>
  <si>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</si>
  <si>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</si>
  <si>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</si>
  <si>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</si>
  <si>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</si>
  <si>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</si>
  <si>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</si>
  <si>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</si>
  <si>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</si>
  <si>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</si>
  <si>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</si>
  <si>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</si>
  <si>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</si>
  <si>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</si>
  <si>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</si>
  <si>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</si>
  <si>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</si>
  <si>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</si>
  <si>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</si>
  <si>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</si>
  <si>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</si>
  <si>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</si>
  <si>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</si>
  <si>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</si>
  <si>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</si>
  <si>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</si>
  <si>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</si>
  <si>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</si>
  <si>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</si>
  <si>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</si>
  <si>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</si>
  <si>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</si>
  <si>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</si>
  <si>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</si>
  <si>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</si>
  <si>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</si>
  <si>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</si>
  <si>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</si>
  <si>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</si>
  <si>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</si>
  <si>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</si>
  <si>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</si>
  <si>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</si>
  <si>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</si>
  <si>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</si>
  <si>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</si>
  <si>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</si>
  <si>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</si>
  <si>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</si>
  <si>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</si>
  <si>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</si>
  <si>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</si>
  <si>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</si>
  <si>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</si>
  <si>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</si>
  <si>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</si>
  <si>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</si>
  <si>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</si>
  <si>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</si>
  <si>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</si>
  <si>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</si>
  <si>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</si>
  <si>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</si>
  <si>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</si>
  <si>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</si>
  <si>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</si>
  <si>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</si>
  <si>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</si>
  <si>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</si>
  <si>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</si>
  <si>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</si>
  <si>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</si>
  <si>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</si>
  <si>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</si>
  <si>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</si>
  <si>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</si>
  <si>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</si>
  <si>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</si>
  <si>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</si>
  <si>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</si>
  <si>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</si>
  <si>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</si>
  <si>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</si>
  <si>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</si>
  <si>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</si>
  <si>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</si>
  <si>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</si>
  <si>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</si>
  <si>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</si>
  <si>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</si>
  <si>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</si>
  <si>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</si>
  <si>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</si>
  <si>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</si>
  <si>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</si>
  <si>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</si>
  <si>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</si>
  <si>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</si>
  <si>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</si>
  <si>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</si>
  <si>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</si>
  <si>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</si>
  <si>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</si>
  <si>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</si>
  <si>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</si>
  <si>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</si>
  <si>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</si>
  <si>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</si>
  <si>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</si>
  <si>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</si>
  <si>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</si>
  <si>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</si>
  <si>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</si>
  <si>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</si>
  <si>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</si>
  <si>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</si>
  <si>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</si>
  <si>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</si>
  <si>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</si>
  <si>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</si>
  <si>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</si>
  <si>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</si>
  <si>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</si>
  <si>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</si>
  <si>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</si>
  <si>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</si>
  <si>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</si>
  <si>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</si>
  <si>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</si>
  <si>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</si>
  <si>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</si>
  <si>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</si>
  <si>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</si>
  <si>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</si>
  <si>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</si>
  <si>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</si>
  <si>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</si>
  <si>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</si>
  <si>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</si>
  <si>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</si>
  <si>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</si>
  <si>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</si>
  <si>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</si>
  <si>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</si>
  <si>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</si>
  <si>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</si>
  <si>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</si>
  <si>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</si>
  <si>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</si>
  <si>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</si>
  <si>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</si>
  <si>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</si>
  <si>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</si>
  <si>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</si>
  <si>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</si>
  <si>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</si>
  <si>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</si>
  <si>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</si>
  <si>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</si>
  <si>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</si>
  <si>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</si>
  <si>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</si>
  <si>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</si>
  <si>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</si>
  <si>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</si>
  <si>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</si>
  <si>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</si>
  <si>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</si>
  <si>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</si>
  <si>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</si>
  <si>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</si>
  <si>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</si>
  <si>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</si>
  <si>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</si>
  <si>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</si>
  <si>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</si>
  <si>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</si>
  <si>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</si>
  <si>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</si>
  <si>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</si>
  <si>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</si>
  <si>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</si>
  <si>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</si>
  <si>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</si>
  <si>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</si>
  <si>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</si>
  <si>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</si>
  <si>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</si>
  <si>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</si>
  <si>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</si>
  <si>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03136906</t>
  </si>
  <si>
    <t>070000553</t>
  </si>
  <si>
    <t>31407797858</t>
  </si>
  <si>
    <t>IVKOM DD</t>
  </si>
  <si>
    <t>IVANEC</t>
  </si>
  <si>
    <t>V. NAZORA 96B</t>
  </si>
  <si>
    <t>ivkom@ivkom.hr</t>
  </si>
  <si>
    <t>www.ivkom.hr</t>
  </si>
  <si>
    <t>DA</t>
  </si>
  <si>
    <t>41748200389</t>
  </si>
  <si>
    <t>KUŠEN BRANKICA</t>
  </si>
  <si>
    <t>042770573</t>
  </si>
  <si>
    <t>042781307</t>
  </si>
  <si>
    <t>brankica@ivkom.hr</t>
  </si>
  <si>
    <t>STANKO MLADEN</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</si>
</sst>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5141442.52</v>
      </c>
      <c r="I3" s="27">
        <f>ABS(ROUND(J3,0)-J3)+ABS(ROUND(K3,0)-K3)</f>
        <v>0</v>
      </c>
      <c r="J3" s="75">
        <f>Bilanca!K11</f>
        <v>77562574</v>
      </c>
      <c r="K3" s="76">
        <f>Bilanca!L11</f>
        <v>89754776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2588.7299999999996</v>
      </c>
      <c r="I4" s="77">
        <f>ABS(ROUND(J4,0)-J4)+ABS(ROUND(K4,0)-K4)</f>
        <v>0</v>
      </c>
      <c r="J4" s="75">
        <f>Bilanca!K12</f>
        <v>27851</v>
      </c>
      <c r="K4" s="76">
        <f>Bilanca!L12</f>
        <v>29220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03136906</v>
      </c>
      <c r="C6" s="27"/>
      <c r="D6" s="27" t="s">
        <v>2272</v>
      </c>
      <c r="E6" s="27">
        <v>1</v>
      </c>
      <c r="F6" s="27">
        <f>Bilanca!I14</f>
        <v>5</v>
      </c>
      <c r="G6" s="27">
        <f>IF(Bilanca!J14=0,"",Bilanca!J14)</f>
      </c>
      <c r="H6" s="224">
        <f t="shared" si="1"/>
        <v>1172.85</v>
      </c>
      <c r="I6" s="77">
        <f t="shared" si="2"/>
        <v>0</v>
      </c>
      <c r="J6" s="75">
        <f>Bilanca!K14</f>
        <v>993</v>
      </c>
      <c r="K6" s="76">
        <f>Bilanca!L14</f>
        <v>11232</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070000553</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31407797858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 DD</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5655.0599999999995</v>
      </c>
      <c r="I10" s="77">
        <f t="shared" si="2"/>
        <v>0</v>
      </c>
      <c r="J10" s="75">
        <f>Bilanca!K18</f>
        <v>26858</v>
      </c>
      <c r="K10" s="76">
        <f>Bilanca!L18</f>
        <v>17988</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25011020.7</v>
      </c>
      <c r="I11" s="27">
        <f t="shared" si="2"/>
        <v>0</v>
      </c>
      <c r="J11" s="75">
        <f>Bilanca!K19</f>
        <v>75242847</v>
      </c>
      <c r="K11" s="76">
        <f>Bilanca!L19</f>
        <v>87433680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 NAZORA 96B</v>
      </c>
      <c r="C12" s="27"/>
      <c r="D12" s="27" t="s">
        <v>2272</v>
      </c>
      <c r="E12" s="27">
        <v>1</v>
      </c>
      <c r="F12" s="27">
        <f>Bilanca!I20</f>
        <v>11</v>
      </c>
      <c r="G12" s="27">
        <f>IF(Bilanca!J20=0,"",Bilanca!J20)</f>
      </c>
      <c r="H12" s="224">
        <f t="shared" si="1"/>
        <v>27206.52</v>
      </c>
      <c r="I12" s="77">
        <f t="shared" si="2"/>
        <v>0</v>
      </c>
      <c r="J12" s="75">
        <f>Bilanca!K20</f>
        <v>82444</v>
      </c>
      <c r="K12" s="76">
        <f>Bilanca!L20</f>
        <v>82444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ivkom@ivkom.hr</v>
      </c>
      <c r="C13" s="27"/>
      <c r="D13" s="27" t="s">
        <v>2272</v>
      </c>
      <c r="E13" s="27">
        <v>1</v>
      </c>
      <c r="F13" s="27">
        <f>Bilanca!I21</f>
        <v>12</v>
      </c>
      <c r="G13" s="27">
        <f>IF(Bilanca!J21=0,"",Bilanca!J21)</f>
      </c>
      <c r="H13" s="224">
        <f t="shared" si="1"/>
        <v>24162495.84</v>
      </c>
      <c r="I13" s="27">
        <f t="shared" si="2"/>
        <v>0</v>
      </c>
      <c r="J13" s="75">
        <f>Bilanca!K21</f>
        <v>66690168</v>
      </c>
      <c r="K13" s="76">
        <f>Bilanca!L21</f>
        <v>67331982</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www.ivkom.hr</v>
      </c>
      <c r="C14" s="27"/>
      <c r="D14" s="27" t="s">
        <v>2272</v>
      </c>
      <c r="E14" s="27">
        <v>1</v>
      </c>
      <c r="F14" s="27">
        <f>Bilanca!I22</f>
        <v>13</v>
      </c>
      <c r="G14" s="27">
        <f>IF(Bilanca!J22=0,"",Bilanca!J22)</f>
      </c>
      <c r="H14" s="224">
        <f t="shared" si="1"/>
        <v>221221.13</v>
      </c>
      <c r="I14" s="77">
        <f t="shared" si="2"/>
        <v>0</v>
      </c>
      <c r="J14" s="75">
        <f>Bilanca!K22</f>
        <v>661581</v>
      </c>
      <c r="K14" s="76">
        <f>Bilanca!L22</f>
        <v>520060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1001603.4</v>
      </c>
      <c r="I15" s="27">
        <f t="shared" si="2"/>
        <v>0</v>
      </c>
      <c r="J15" s="75">
        <f>Bilanca!K23</f>
        <v>2609718</v>
      </c>
      <c r="K15" s="76">
        <f>Bilanca!L23</f>
        <v>2272296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6740964.44</v>
      </c>
      <c r="I18" s="77">
        <f t="shared" si="2"/>
        <v>0</v>
      </c>
      <c r="J18" s="75">
        <f>Bilanca!K26</f>
        <v>5198936</v>
      </c>
      <c r="K18" s="76">
        <f>Bilanca!L26</f>
        <v>17226898</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2</v>
      </c>
      <c r="C21" s="27"/>
      <c r="D21" s="27" t="s">
        <v>2272</v>
      </c>
      <c r="E21" s="27">
        <v>1</v>
      </c>
      <c r="F21" s="27">
        <f>Bilanca!I29</f>
        <v>20</v>
      </c>
      <c r="G21" s="27">
        <f>IF(Bilanca!J29=0,"",Bilanca!J29)</f>
      </c>
      <c r="H21" s="224">
        <f t="shared" si="1"/>
        <v>1375125.5999999999</v>
      </c>
      <c r="I21" s="27">
        <f t="shared" si="2"/>
        <v>0</v>
      </c>
      <c r="J21" s="75">
        <f>Bilanca!K29</f>
        <v>2291876</v>
      </c>
      <c r="K21" s="76">
        <f>Bilanca!L29</f>
        <v>2291876</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1443881.88</v>
      </c>
      <c r="I22" s="77">
        <f t="shared" si="2"/>
        <v>0</v>
      </c>
      <c r="J22" s="75">
        <f>Bilanca!K30</f>
        <v>2291876</v>
      </c>
      <c r="K22" s="76">
        <f>Bilanca!L30</f>
        <v>2291876</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92</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90</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80</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81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12758122.94</v>
      </c>
      <c r="I35" s="27">
        <f t="shared" si="2"/>
        <v>0</v>
      </c>
      <c r="J35" s="75">
        <f>Bilanca!K43</f>
        <v>13084295</v>
      </c>
      <c r="K35" s="76">
        <f>Bilanca!L43</f>
        <v>12219798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887477.1499999999</v>
      </c>
      <c r="I36" s="77">
        <f t="shared" si="2"/>
        <v>0</v>
      </c>
      <c r="J36" s="75">
        <f>Bilanca!K44</f>
        <v>898899</v>
      </c>
      <c r="K36" s="76">
        <f>Bilanca!L44</f>
        <v>818375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912833.64</v>
      </c>
      <c r="I37" s="27">
        <f t="shared" si="2"/>
        <v>0</v>
      </c>
      <c r="J37" s="75">
        <f>Bilanca!K45</f>
        <v>898899</v>
      </c>
      <c r="K37" s="76">
        <f>Bilanca!L45</f>
        <v>818375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KUŠEN BRANKICA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042770573</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brankica@ivkom.hr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STANKO MLADEN</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7281673.75</v>
      </c>
      <c r="I44" s="77">
        <f t="shared" si="2"/>
        <v>0</v>
      </c>
      <c r="J44" s="75">
        <f>Bilanca!K52</f>
        <v>5265249</v>
      </c>
      <c r="K44" s="76">
        <f>Bilanca!L52</f>
        <v>5834438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379140.52</v>
      </c>
      <c r="I45" s="27">
        <f aca="true" t="shared" si="4" ref="I45:I60">ABS(ROUND(J45,0)-J45)+ABS(ROUND(K45,0)-K45)</f>
        <v>0</v>
      </c>
      <c r="J45" s="75">
        <f>Bilanca!K53</f>
        <v>304425</v>
      </c>
      <c r="K45" s="76">
        <f>Bilanca!L53</f>
        <v>278629</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5835584.25</v>
      </c>
      <c r="I46" s="77">
        <f t="shared" si="4"/>
        <v>0</v>
      </c>
      <c r="J46" s="75">
        <f>Bilanca!K54</f>
        <v>4102499</v>
      </c>
      <c r="K46" s="76">
        <f>Bilanca!L54</f>
        <v>4432733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120535.2</v>
      </c>
      <c r="I49" s="27">
        <f t="shared" si="4"/>
        <v>0</v>
      </c>
      <c r="J49" s="75">
        <f>Bilanca!K57</f>
        <v>133247</v>
      </c>
      <c r="K49" s="76">
        <f>Bilanca!L57</f>
        <v>58934</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DA</v>
      </c>
      <c r="C50" s="27"/>
      <c r="D50" s="27" t="s">
        <v>2272</v>
      </c>
      <c r="E50" s="27">
        <v>1</v>
      </c>
      <c r="F50" s="27">
        <f>Bilanca!I58</f>
        <v>49</v>
      </c>
      <c r="G50" s="27">
        <f>IF(Bilanca!J58=0,"",Bilanca!J58)</f>
      </c>
      <c r="H50" s="224">
        <f t="shared" si="3"/>
        <v>1398147.38</v>
      </c>
      <c r="I50" s="77">
        <f t="shared" si="4"/>
        <v>0</v>
      </c>
      <c r="J50" s="75">
        <f>Bilanca!K58</f>
        <v>725078</v>
      </c>
      <c r="K50" s="76">
        <f>Bilanca!L58</f>
        <v>1064142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2382431812.91</v>
      </c>
      <c r="C59" s="27"/>
      <c r="D59" s="27" t="s">
        <v>2272</v>
      </c>
      <c r="E59" s="27">
        <v>1</v>
      </c>
      <c r="F59" s="27">
        <f>Bilanca!I67</f>
        <v>58</v>
      </c>
      <c r="G59" s="27">
        <f>IF(Bilanca!J67=0,"",Bilanca!J67)</f>
      </c>
      <c r="H59" s="224">
        <f t="shared" si="3"/>
        <v>10471387.86</v>
      </c>
      <c r="I59" s="27">
        <f t="shared" si="4"/>
        <v>0</v>
      </c>
      <c r="J59" s="75">
        <f>Bilanca!K67</f>
        <v>6920147</v>
      </c>
      <c r="K59" s="76">
        <f>Bilanca!L67</f>
        <v>5566985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f>IF(Bilanca!J68=0,"",Bilanca!J68)</f>
      </c>
      <c r="H60" s="224">
        <f t="shared" si="3"/>
        <v>99230.92000000001</v>
      </c>
      <c r="I60" s="77">
        <f t="shared" si="4"/>
        <v>0</v>
      </c>
      <c r="J60" s="75">
        <f>Bilanca!K68</f>
        <v>50774</v>
      </c>
      <c r="K60" s="76">
        <f>Bilanca!L68</f>
        <v>58707</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176858523</v>
      </c>
      <c r="I61" s="27">
        <f>ABS(ROUND(J61,0)-J61)+ABS(ROUND(K61,0)-K61)</f>
        <v>0</v>
      </c>
      <c r="J61" s="75">
        <f>Bilanca!K69</f>
        <v>90697643</v>
      </c>
      <c r="K61" s="76">
        <f>Bilanca!L69</f>
        <v>102033281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55166045.400000006</v>
      </c>
      <c r="I62" s="77">
        <f>ABS(ROUND(J62,0)-J62)+ABS(ROUND(K62,0)-K62)</f>
        <v>0</v>
      </c>
      <c r="J62" s="75">
        <f>Bilanca!K70</f>
        <v>30145380</v>
      </c>
      <c r="K62" s="76">
        <f>Bilanca!L70</f>
        <v>30145380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41748200389</v>
      </c>
      <c r="C63" s="27"/>
      <c r="D63" s="27" t="s">
        <v>2272</v>
      </c>
      <c r="E63" s="27">
        <v>1</v>
      </c>
      <c r="F63" s="27">
        <f>Bilanca!I72</f>
        <v>62</v>
      </c>
      <c r="G63" s="27">
        <f>IF(Bilanca!J72=0,"",Bilanca!J72)</f>
      </c>
      <c r="H63" s="224">
        <f>J63/100*F63+2*K63/100*F63</f>
        <v>75817875.52</v>
      </c>
      <c r="I63" s="27">
        <f>ABS(ROUND(J63,0)-J63)+ABS(ROUND(K63,0)-K63)</f>
        <v>0</v>
      </c>
      <c r="J63" s="75">
        <f>Bilanca!K72</f>
        <v>40734398</v>
      </c>
      <c r="K63" s="76">
        <f>Bilanca!L72</f>
        <v>40776249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56974768.199999996</v>
      </c>
      <c r="I64" s="27">
        <f>ABS(ROUND(J64,0)-J64)+ABS(ROUND(K64,0)-K64)</f>
        <v>0</v>
      </c>
      <c r="J64" s="75">
        <f>Bilanca!K73</f>
        <v>30145380</v>
      </c>
      <c r="K64" s="76">
        <f>Bilanca!L73</f>
        <v>30145380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19649155.5</v>
      </c>
      <c r="I66" s="27">
        <f t="shared" si="6"/>
        <v>0</v>
      </c>
      <c r="J66" s="75">
        <f>Bilanca!K75</f>
        <v>10074626</v>
      </c>
      <c r="K66" s="76">
        <f>Bilanca!L75</f>
        <v>10077422</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85704.96</v>
      </c>
      <c r="I67" s="27">
        <f t="shared" si="6"/>
        <v>0</v>
      </c>
      <c r="J67" s="75">
        <f>Bilanca!K76</f>
        <v>41422</v>
      </c>
      <c r="K67" s="76">
        <f>Bilanca!L76</f>
        <v>44217</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21069729.8</v>
      </c>
      <c r="I71" s="27">
        <f t="shared" si="6"/>
        <v>0</v>
      </c>
      <c r="J71" s="75">
        <f>Bilanca!K80</f>
        <v>10033204</v>
      </c>
      <c r="K71" s="76">
        <f>Bilanca!L80</f>
        <v>10033205</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742021.71</v>
      </c>
      <c r="I72" s="27">
        <f t="shared" si="6"/>
        <v>0</v>
      </c>
      <c r="J72" s="75">
        <f>Bilanca!K81</f>
        <v>348367</v>
      </c>
      <c r="K72" s="76">
        <f>Bilanca!L81</f>
        <v>348367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314325.36</v>
      </c>
      <c r="I73" s="27">
        <f t="shared" si="6"/>
        <v>0</v>
      </c>
      <c r="J73" s="75">
        <f>Bilanca!K82</f>
        <v>110105</v>
      </c>
      <c r="K73" s="76">
        <f>Bilanca!L82</f>
        <v>163229</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318690.99</v>
      </c>
      <c r="I74" s="27">
        <f t="shared" si="6"/>
        <v>0</v>
      </c>
      <c r="J74" s="75">
        <f>Bilanca!K83</f>
        <v>110105</v>
      </c>
      <c r="K74" s="76">
        <f>Bilanca!L83</f>
        <v>163229</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104716.5</v>
      </c>
      <c r="I76" s="27">
        <f t="shared" si="6"/>
        <v>0</v>
      </c>
      <c r="J76" s="75">
        <f>Bilanca!K85</f>
        <v>55920</v>
      </c>
      <c r="K76" s="76">
        <f>Bilanca!L85</f>
        <v>41851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106112.72</v>
      </c>
      <c r="I77" s="27">
        <f t="shared" si="6"/>
        <v>0</v>
      </c>
      <c r="J77" s="75">
        <f>Bilanca!K86</f>
        <v>55920</v>
      </c>
      <c r="K77" s="76">
        <f>Bilanca!L86</f>
        <v>41851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486224.79000000004</v>
      </c>
      <c r="I84" s="27">
        <f t="shared" si="6"/>
        <v>0</v>
      </c>
      <c r="J84" s="75">
        <f>Bilanca!K93</f>
        <v>304537</v>
      </c>
      <c r="K84" s="76">
        <f>Bilanca!L93</f>
        <v>140638</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503799.18</v>
      </c>
      <c r="I87" s="27">
        <f t="shared" si="6"/>
        <v>0</v>
      </c>
      <c r="J87" s="75">
        <f>Bilanca!K96</f>
        <v>304537</v>
      </c>
      <c r="K87" s="76">
        <f>Bilanca!L96</f>
        <v>140638</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15641888.55</v>
      </c>
      <c r="I94" s="27">
        <f t="shared" si="6"/>
        <v>0</v>
      </c>
      <c r="J94" s="75">
        <f>Bilanca!K103</f>
        <v>5864841</v>
      </c>
      <c r="K94" s="76">
        <f>Bilanca!L103</f>
        <v>5477197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509899.2</v>
      </c>
      <c r="I97" s="27">
        <f t="shared" si="6"/>
        <v>0</v>
      </c>
      <c r="J97" s="75">
        <f>Bilanca!K106</f>
        <v>170169</v>
      </c>
      <c r="K97" s="76">
        <f>Bilanca!L106</f>
        <v>180488</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1835808.42</v>
      </c>
      <c r="I98" s="27">
        <f t="shared" si="6"/>
        <v>0</v>
      </c>
      <c r="J98" s="75">
        <f>Bilanca!K107</f>
        <v>579996</v>
      </c>
      <c r="K98" s="76">
        <f>Bilanca!L107</f>
        <v>656295</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7322164.08</v>
      </c>
      <c r="I99" s="27">
        <f aca="true" t="shared" si="9" ref="I99:I107">ABS(ROUND(J99,0)-J99)+ABS(ROUND(K99,0)-K99)</f>
        <v>0</v>
      </c>
      <c r="J99" s="75">
        <f>Bilanca!K108</f>
        <v>1916332</v>
      </c>
      <c r="K99" s="76">
        <f>Bilanca!L108</f>
        <v>2777632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1165587.47</v>
      </c>
      <c r="I102" s="27">
        <f t="shared" si="9"/>
        <v>0</v>
      </c>
      <c r="J102" s="75">
        <f>Bilanca!K111</f>
        <v>390907</v>
      </c>
      <c r="K102" s="76">
        <f>Bilanca!L111</f>
        <v>381570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707618.88</v>
      </c>
      <c r="I103" s="27">
        <f t="shared" si="9"/>
        <v>0</v>
      </c>
      <c r="J103" s="75">
        <f>Bilanca!K112</f>
        <v>228164</v>
      </c>
      <c r="K103" s="76">
        <f>Bilanca!L112</f>
        <v>232790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5329922.85</v>
      </c>
      <c r="I106" s="27">
        <f t="shared" si="9"/>
        <v>0</v>
      </c>
      <c r="J106" s="75">
        <f>Bilanca!K115</f>
        <v>2579273</v>
      </c>
      <c r="K106" s="76">
        <f>Bilanca!L115</f>
        <v>1248422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164376596.66</v>
      </c>
      <c r="I107" s="27">
        <f t="shared" si="9"/>
        <v>0</v>
      </c>
      <c r="J107" s="75">
        <f>Bilanca!K116</f>
        <v>43793867</v>
      </c>
      <c r="K107" s="76">
        <f>Bilanca!L116</f>
        <v>55639197</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315397699.35</v>
      </c>
      <c r="I108" s="27">
        <f aca="true" t="shared" si="11" ref="I108:I113">ABS(ROUND(J108,0)-J108)+ABS(ROUND(K108,0)-K108)</f>
        <v>0</v>
      </c>
      <c r="J108" s="75">
        <f>Bilanca!K117</f>
        <v>90697643</v>
      </c>
      <c r="K108" s="76">
        <f>Bilanca!L117</f>
        <v>102033281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97671031.19999999</v>
      </c>
      <c r="I109" s="27">
        <f t="shared" si="11"/>
        <v>0</v>
      </c>
      <c r="J109" s="75">
        <f>Bilanca!K118</f>
        <v>30145380</v>
      </c>
      <c r="K109" s="76">
        <f>Bilanca!L118</f>
        <v>30145380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57637928.82</v>
      </c>
      <c r="I112" s="27">
        <f t="shared" si="11"/>
        <v>0</v>
      </c>
      <c r="J112" s="75">
        <f>RDG!K9</f>
        <v>17699770</v>
      </c>
      <c r="K112" s="76">
        <f>RDG!L9</f>
        <v>17113146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46341963.36</v>
      </c>
      <c r="I113" s="27">
        <f t="shared" si="11"/>
        <v>0</v>
      </c>
      <c r="J113" s="75">
        <f>RDG!K10</f>
        <v>13922171</v>
      </c>
      <c r="K113" s="76">
        <f>RDG!L10</f>
        <v>13727291</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11920719.170000002</v>
      </c>
      <c r="I114" s="27">
        <f aca="true" t="shared" si="13" ref="I114:I158">ABS(ROUND(J114,0)-J114)+ABS(ROUND(K114,0)-K114)</f>
        <v>0</v>
      </c>
      <c r="J114" s="75">
        <f>RDG!K11</f>
        <v>3777599</v>
      </c>
      <c r="K114" s="76">
        <f>RDG!L11</f>
        <v>3385855</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59901991.980000004</v>
      </c>
      <c r="I115" s="27">
        <f t="shared" si="13"/>
        <v>0</v>
      </c>
      <c r="J115" s="75">
        <f>RDG!K12</f>
        <v>17904893</v>
      </c>
      <c r="K115" s="76">
        <f>RDG!L12</f>
        <v>17320357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16586706.599999998</v>
      </c>
      <c r="I117" s="27">
        <f t="shared" si="13"/>
        <v>0</v>
      </c>
      <c r="J117" s="75">
        <f>RDG!K14</f>
        <v>4710695</v>
      </c>
      <c r="K117" s="76">
        <f>RDG!L14</f>
        <v>4794095</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8742216.6</v>
      </c>
      <c r="I118" s="27">
        <f t="shared" si="13"/>
        <v>0</v>
      </c>
      <c r="J118" s="75">
        <f>RDG!K15</f>
        <v>2415506</v>
      </c>
      <c r="K118" s="76">
        <f>RDG!L15</f>
        <v>2528237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1343191.6400000001</v>
      </c>
      <c r="I119" s="27">
        <f t="shared" si="13"/>
        <v>0</v>
      </c>
      <c r="J119" s="75">
        <f>RDG!K16</f>
        <v>353206</v>
      </c>
      <c r="K119" s="76">
        <f>RDG!L16</f>
        <v>392546</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6769442.33</v>
      </c>
      <c r="I120" s="27">
        <f t="shared" si="13"/>
        <v>0</v>
      </c>
      <c r="J120" s="75">
        <f>RDG!K17</f>
        <v>1941983</v>
      </c>
      <c r="K120" s="76">
        <f>RDG!L17</f>
        <v>1873312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26319279.599999998</v>
      </c>
      <c r="I121" s="27">
        <f t="shared" si="13"/>
        <v>0</v>
      </c>
      <c r="J121" s="75">
        <f>RDG!K18</f>
        <v>7232511</v>
      </c>
      <c r="K121" s="76">
        <f>RDG!L18</f>
        <v>7350111</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18380368.27</v>
      </c>
      <c r="I122" s="27">
        <f t="shared" si="13"/>
        <v>0</v>
      </c>
      <c r="J122" s="75">
        <f>RDG!K19</f>
        <v>4988963</v>
      </c>
      <c r="K122" s="76">
        <f>RDG!L19</f>
        <v>5100712</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4630337.98</v>
      </c>
      <c r="I123" s="27">
        <f t="shared" si="13"/>
        <v>0</v>
      </c>
      <c r="J123" s="75">
        <f>RDG!K20</f>
        <v>1247241</v>
      </c>
      <c r="K123" s="76">
        <f>RDG!L20</f>
        <v>1274059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3624794.01</v>
      </c>
      <c r="I124" s="27">
        <f t="shared" si="13"/>
        <v>0</v>
      </c>
      <c r="J124" s="75">
        <f>RDG!K21</f>
        <v>996307</v>
      </c>
      <c r="K124" s="76">
        <f>RDG!L21</f>
        <v>975340</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8955332.08</v>
      </c>
      <c r="I125" s="27">
        <f t="shared" si="13"/>
        <v>0</v>
      </c>
      <c r="J125" s="75">
        <f>RDG!K22</f>
        <v>2535614</v>
      </c>
      <c r="K125" s="76">
        <f>RDG!L22</f>
        <v>2343214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9188630</v>
      </c>
      <c r="I126" s="27">
        <f t="shared" si="13"/>
        <v>0</v>
      </c>
      <c r="J126" s="75">
        <f>RDG!K23</f>
        <v>2555686</v>
      </c>
      <c r="K126" s="76">
        <f>RDG!L23</f>
        <v>2397609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1729260.54</v>
      </c>
      <c r="I127" s="27">
        <f t="shared" si="13"/>
        <v>0</v>
      </c>
      <c r="J127" s="75">
        <f>RDG!K24</f>
        <v>717971</v>
      </c>
      <c r="K127" s="76">
        <f>RDG!L24</f>
        <v>327229</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1756709.12</v>
      </c>
      <c r="I129" s="27">
        <f t="shared" si="13"/>
        <v>0</v>
      </c>
      <c r="J129" s="75">
        <f>RDG!K26</f>
        <v>717971</v>
      </c>
      <c r="K129" s="76">
        <f>RDG!L26</f>
        <v>327229</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479198.20000000007</v>
      </c>
      <c r="I131" s="27">
        <f t="shared" si="13"/>
        <v>0</v>
      </c>
      <c r="J131" s="75">
        <f>RDG!K28</f>
        <v>152416</v>
      </c>
      <c r="K131" s="76">
        <f>RDG!L28</f>
        <v>108099</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1306613.65</v>
      </c>
      <c r="I132" s="27">
        <f t="shared" si="13"/>
        <v>0</v>
      </c>
      <c r="J132" s="75">
        <f>RDG!K29</f>
        <v>291917</v>
      </c>
      <c r="K132" s="76">
        <f>RDG!L29</f>
        <v>352749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449470.56</v>
      </c>
      <c r="I133" s="27">
        <f t="shared" si="13"/>
        <v>0</v>
      </c>
      <c r="J133" s="75">
        <f>RDG!K30</f>
        <v>94798</v>
      </c>
      <c r="K133" s="76">
        <f>RDG!L30</f>
        <v>122855</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873686.31</v>
      </c>
      <c r="I134" s="27">
        <f t="shared" si="13"/>
        <v>0</v>
      </c>
      <c r="J134" s="75">
        <f>RDG!K31</f>
        <v>197119</v>
      </c>
      <c r="K134" s="76">
        <f>RDG!L31</f>
        <v>229894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295922.74</v>
      </c>
      <c r="I138" s="27">
        <f t="shared" si="13"/>
        <v>0</v>
      </c>
      <c r="J138" s="75">
        <f>RDG!K35</f>
        <v>30874</v>
      </c>
      <c r="K138" s="76">
        <f>RDG!L35</f>
        <v>92564</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300242.77999999997</v>
      </c>
      <c r="I140" s="27">
        <f t="shared" si="13"/>
        <v>0</v>
      </c>
      <c r="J140" s="75">
        <f>RDG!K37</f>
        <v>30874</v>
      </c>
      <c r="K140" s="76">
        <f>RDG!L37</f>
        <v>92564</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11499.84</v>
      </c>
      <c r="I145" s="27">
        <f t="shared" si="13"/>
        <v>0</v>
      </c>
      <c r="J145" s="75">
        <f>RDG!K42</f>
        <v>0</v>
      </c>
      <c r="K145" s="76">
        <f>RDG!L42</f>
        <v>3993</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77279935.98</v>
      </c>
      <c r="I147" s="27">
        <f t="shared" si="13"/>
        <v>0</v>
      </c>
      <c r="J147" s="75">
        <f>RDG!K44</f>
        <v>17991687</v>
      </c>
      <c r="K147" s="76">
        <f>RDG!L44</f>
        <v>17469888</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77559565.22999999</v>
      </c>
      <c r="I148" s="27">
        <f t="shared" si="13"/>
        <v>0</v>
      </c>
      <c r="J148" s="75">
        <f>RDG!K45</f>
        <v>17935767</v>
      </c>
      <c r="K148" s="76">
        <f>RDG!L45</f>
        <v>17412921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251383.91999999998</v>
      </c>
      <c r="I149" s="27">
        <f t="shared" si="13"/>
        <v>0</v>
      </c>
      <c r="J149" s="75">
        <f>RDG!K46</f>
        <v>55920</v>
      </c>
      <c r="K149" s="76">
        <f>RDG!L46</f>
        <v>56967</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253082.45999999996</v>
      </c>
      <c r="I150" s="27">
        <f t="shared" si="13"/>
        <v>0</v>
      </c>
      <c r="J150" s="75">
        <f>RDG!K47</f>
        <v>55920</v>
      </c>
      <c r="K150" s="76">
        <f>RDG!L47</f>
        <v>56967</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45650.32</v>
      </c>
      <c r="I152" s="27">
        <f t="shared" si="13"/>
        <v>0</v>
      </c>
      <c r="J152" s="75">
        <f>RDG!K49</f>
        <v>0</v>
      </c>
      <c r="K152" s="76">
        <f>RDG!L49</f>
        <v>15116</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212225.44</v>
      </c>
      <c r="I153" s="27">
        <f t="shared" si="13"/>
        <v>0</v>
      </c>
      <c r="J153" s="75">
        <f>RDG!K50</f>
        <v>55920</v>
      </c>
      <c r="K153" s="76">
        <f>RDG!L50</f>
        <v>41851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213621.66</v>
      </c>
      <c r="I154" s="27">
        <f t="shared" si="13"/>
        <v>0</v>
      </c>
      <c r="J154" s="75">
        <f>RDG!K51</f>
        <v>55920</v>
      </c>
      <c r="K154" s="76">
        <f>RDG!L51</f>
        <v>41851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678692.24</v>
      </c>
      <c r="I348" s="27">
        <f aca="true" t="shared" si="25" ref="I348:I392">ABS(ROUND(J348,0)-J348)+ABS(ROUND(K348,0)-K348)</f>
        <v>0</v>
      </c>
      <c r="J348" s="75">
        <f>NT_D!K10</f>
        <v>22794006</v>
      </c>
      <c r="K348" s="76">
        <f>NT_D!L10</f>
        <v>22537609</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31248.550000000003</v>
      </c>
      <c r="I352" s="27">
        <f t="shared" si="25"/>
        <v>0</v>
      </c>
      <c r="J352" s="75">
        <f>NT_D!K14</f>
        <v>458351</v>
      </c>
      <c r="K352" s="76">
        <f>NT_D!L14</f>
        <v>83310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4109651.7</v>
      </c>
      <c r="I353" s="27">
        <f t="shared" si="25"/>
        <v>0</v>
      </c>
      <c r="J353" s="75">
        <f>NT_D!K15</f>
        <v>23252357</v>
      </c>
      <c r="K353" s="76">
        <f>NT_D!L15</f>
        <v>22620919</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1038421.51</v>
      </c>
      <c r="I354" s="27">
        <f t="shared" si="25"/>
        <v>0</v>
      </c>
      <c r="J354" s="75">
        <f>NT_D!K16</f>
        <v>6978957</v>
      </c>
      <c r="K354" s="76">
        <f>NT_D!L16</f>
        <v>3927818</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1509190.72</v>
      </c>
      <c r="I355" s="27">
        <f t="shared" si="25"/>
        <v>0</v>
      </c>
      <c r="J355" s="75">
        <f>NT_D!K17</f>
        <v>6435944</v>
      </c>
      <c r="K355" s="76">
        <f>NT_D!L17</f>
        <v>6214470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1165690.9</v>
      </c>
      <c r="I358" s="27">
        <f t="shared" si="25"/>
        <v>0</v>
      </c>
      <c r="J358" s="75">
        <f>NT_D!K20</f>
        <v>4158804</v>
      </c>
      <c r="K358" s="76">
        <f>NT_D!L20</f>
        <v>3219193</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59843.4</v>
      </c>
      <c r="I359" s="27">
        <f t="shared" si="25"/>
        <v>0</v>
      </c>
      <c r="J359" s="75">
        <f>NT_D!K21</f>
        <v>17729</v>
      </c>
      <c r="K359" s="76">
        <f>NT_D!L21</f>
        <v>240483</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5823397.0600000005</v>
      </c>
      <c r="I360" s="27">
        <f t="shared" si="25"/>
        <v>0</v>
      </c>
      <c r="J360" s="75">
        <f>NT_D!K22</f>
        <v>17591434</v>
      </c>
      <c r="K360" s="76">
        <f>NT_D!L22</f>
        <v>13601964</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3317836.62</v>
      </c>
      <c r="I361" s="27">
        <f t="shared" si="25"/>
        <v>0</v>
      </c>
      <c r="J361" s="75">
        <f>NT_D!K23</f>
        <v>5660923</v>
      </c>
      <c r="K361" s="76">
        <f>NT_D!L23</f>
        <v>9018955</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1294693.5999999999</v>
      </c>
      <c r="I367" s="27">
        <f t="shared" si="25"/>
        <v>0</v>
      </c>
      <c r="J367" s="75">
        <f>NT_D!K30</f>
        <v>600066</v>
      </c>
      <c r="K367" s="76">
        <f>NT_D!L30</f>
        <v>2936701</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1359428.28</v>
      </c>
      <c r="I368" s="27">
        <f t="shared" si="25"/>
        <v>0</v>
      </c>
      <c r="J368" s="75">
        <f>NT_D!K31</f>
        <v>600066</v>
      </c>
      <c r="K368" s="76">
        <f>NT_D!L31</f>
        <v>2936701</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5279354.08</v>
      </c>
      <c r="I369" s="27">
        <f t="shared" si="25"/>
        <v>0</v>
      </c>
      <c r="J369" s="75">
        <f>NT_D!K32</f>
        <v>2401210</v>
      </c>
      <c r="K369" s="76">
        <f>NT_D!L32</f>
        <v>10797927</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8170.08</v>
      </c>
      <c r="I371" s="27">
        <f t="shared" si="25"/>
        <v>0</v>
      </c>
      <c r="J371" s="75">
        <f>NT_D!K34</f>
        <v>14742</v>
      </c>
      <c r="K371" s="76">
        <f>NT_D!L34</f>
        <v>9650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6007776.5</v>
      </c>
      <c r="I372" s="27">
        <f t="shared" si="25"/>
        <v>0</v>
      </c>
      <c r="J372" s="75">
        <f>NT_D!K35</f>
        <v>2415952</v>
      </c>
      <c r="K372" s="76">
        <f>NT_D!L35</f>
        <v>10807577</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4740562.26</v>
      </c>
      <c r="I374" s="27">
        <f t="shared" si="25"/>
        <v>0</v>
      </c>
      <c r="J374" s="75">
        <f>NT_D!K37</f>
        <v>1815886</v>
      </c>
      <c r="K374" s="76">
        <f>NT_D!L37</f>
        <v>7870876</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3583062.23</v>
      </c>
      <c r="I376" s="27">
        <f t="shared" si="25"/>
        <v>0</v>
      </c>
      <c r="J376" s="75">
        <f>NT_D!K40</f>
        <v>3355387</v>
      </c>
      <c r="K376" s="76">
        <f>NT_D!L40</f>
        <v>4500000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303069.6</v>
      </c>
      <c r="I377" s="27">
        <f t="shared" si="25"/>
        <v>0</v>
      </c>
      <c r="J377" s="75">
        <f>NT_D!K41</f>
        <v>795516</v>
      </c>
      <c r="K377" s="76">
        <f>NT_D!L41</f>
        <v>107358</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4143341.8899999997</v>
      </c>
      <c r="I378" s="27">
        <f t="shared" si="25"/>
        <v>0</v>
      </c>
      <c r="J378" s="75">
        <f>NT_D!K42</f>
        <v>4150903</v>
      </c>
      <c r="K378" s="76">
        <f>NT_D!L42</f>
        <v>4607358</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7537183.2</v>
      </c>
      <c r="I383" s="27">
        <f t="shared" si="25"/>
        <v>0</v>
      </c>
      <c r="J383" s="75">
        <f>NT_D!K47</f>
        <v>6719422</v>
      </c>
      <c r="K383" s="76">
        <f>NT_D!L47</f>
        <v>7108599</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7746549.4</v>
      </c>
      <c r="I384" s="27">
        <f t="shared" si="25"/>
        <v>0</v>
      </c>
      <c r="J384" s="75">
        <f>NT_D!K48</f>
        <v>6719422</v>
      </c>
      <c r="K384" s="76">
        <f>NT_D!L48</f>
        <v>7108599</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2952690.3899999997</v>
      </c>
      <c r="I386" s="27">
        <f t="shared" si="25"/>
        <v>0</v>
      </c>
      <c r="J386" s="75">
        <f>NT_D!K50</f>
        <v>2568519</v>
      </c>
      <c r="K386" s="76">
        <f>NT_D!L50</f>
        <v>2501241</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510607.2</v>
      </c>
      <c r="I387" s="27">
        <f t="shared" si="25"/>
        <v>0</v>
      </c>
      <c r="J387" s="75">
        <f>NT_D!K51</f>
        <v>1276518</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1109592.84</v>
      </c>
      <c r="I388" s="27">
        <f t="shared" si="25"/>
        <v>0</v>
      </c>
      <c r="J388" s="75">
        <f>NT_D!K52</f>
        <v>0</v>
      </c>
      <c r="K388" s="76">
        <f>NT_D!L52</f>
        <v>1353162</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8183247.66</v>
      </c>
      <c r="I389" s="27">
        <f t="shared" si="25"/>
        <v>0</v>
      </c>
      <c r="J389" s="75">
        <f>NT_D!K53</f>
        <v>5643629</v>
      </c>
      <c r="K389" s="76">
        <f>NT_D!L53</f>
        <v>6920147</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548902.74</v>
      </c>
      <c r="I390" s="27">
        <f t="shared" si="25"/>
        <v>0</v>
      </c>
      <c r="J390" s="75">
        <f>NT_D!K54</f>
        <v>1276518</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1190782.56</v>
      </c>
      <c r="I391" s="27">
        <f t="shared" si="25"/>
        <v>0</v>
      </c>
      <c r="J391" s="75">
        <f>NT_D!K55</f>
        <v>0</v>
      </c>
      <c r="K391" s="76">
        <f>NT_D!L55</f>
        <v>1353162</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8124352.65</v>
      </c>
      <c r="I392" s="30">
        <f t="shared" si="25"/>
        <v>0</v>
      </c>
      <c r="J392" s="229">
        <f>NT_D!K56</f>
        <v>6920147</v>
      </c>
      <c r="K392" s="230">
        <f>NT_D!L56</f>
        <v>5566985</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03136906; IVKOM DD</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114"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2, a upisana veličina je 2</v>
      </c>
      <c r="D55" s="632"/>
      <c r="E55" s="632"/>
      <c r="F55" s="632"/>
      <c r="G55" s="632"/>
      <c r="H55" s="632"/>
      <c r="I55" s="632"/>
      <c r="J55" s="632"/>
      <c r="L55" s="35">
        <f>IF(Opci!C47=M55,0,1)</f>
        <v>0</v>
      </c>
      <c r="M55" s="131">
        <f>1+N55+O55</f>
        <v>2</v>
      </c>
      <c r="N55" s="132">
        <f>IF(Q55+R55+S55&gt;1,1,0)</f>
        <v>1</v>
      </c>
      <c r="O55" s="133">
        <f>IF(U55+V55+W55&gt;1,1,0)</f>
        <v>0</v>
      </c>
      <c r="P55" s="37" t="s">
        <v>1829</v>
      </c>
      <c r="Q55" s="38">
        <f>IF(Bilanca!K69&gt;32500000,1,0)</f>
        <v>1</v>
      </c>
      <c r="R55" s="38">
        <f>IF(RDG!K44&gt;65000000,1,0)</f>
        <v>0</v>
      </c>
      <c r="S55" s="39">
        <f>IF(Opci!C53&gt;50,1,0)</f>
        <v>1</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IVKOM@IVKOM.HR</v>
      </c>
      <c r="N59" s="201" t="str">
        <f>UPPER(TRIM(Opci!C69))</f>
        <v>BRANKICA@IVKOM.HR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\\SERVER\Company\IVKOM D.D. IVANEC\2013. - IVKOM D.D\RACUNOVODSTVO\BRANKICA\ZAVRŠNI\Javna objava\[GFI-POD - Ivkom d.d..xls]NT_D</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13.953488372093023</v>
      </c>
      <c r="P92">
        <f>IF(Opci!E53+Opci!E55&gt;20,ABS(Opci!E53-Opci!E55)/(Opci!E53+Opci!E55)*200,0)</f>
        <v>10.526315789473683</v>
      </c>
      <c r="Q92">
        <f>IF(Opci!C53+Opci!E53&gt;20,ABS(Opci!C53-Opci!E53)/(Opci!C53+Opci!E53)*200,0)</f>
        <v>2.197802197802198</v>
      </c>
      <c r="R92">
        <f>IF(Opci!C55+Opci!E55,ABS(Opci!C55-Opci!E55)/(Opci!C55+Opci!E55)*200,0)</f>
        <v>1.2422360248447204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IVKOM DD</v>
      </c>
      <c r="B21" s="250"/>
      <c r="C21" s="250"/>
      <c r="D21" s="250"/>
      <c r="E21" s="250"/>
      <c r="F21" s="250"/>
      <c r="G21" s="250"/>
      <c r="H21" s="251"/>
      <c r="I21" s="252"/>
      <c r="J21" s="253"/>
    </row>
    <row r="22" spans="1:10" ht="13.5" customHeight="1">
      <c r="A22" s="255" t="str">
        <f>IF(Opci!C29&lt;&gt;"",MID(Opci!C29,1,30),"")</f>
        <v>V. NAZORA 96B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3 1 4 0 7 7 9 7 8 5 8</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313690.6</v>
      </c>
      <c r="T2" s="192">
        <f>INT(VALUE(C21))/50</f>
        <v>1400011.06</v>
      </c>
      <c r="U2" s="192">
        <f>INT(VALUE(C23))/100</f>
        <v>314077978.58</v>
      </c>
      <c r="V2" s="192">
        <f>LEN(Skriveni!B9)</f>
        <v>8</v>
      </c>
      <c r="W2" s="192">
        <f>INT(VALUE(C27))/100</f>
        <v>422.4</v>
      </c>
      <c r="X2" s="192">
        <f>LEN(Skriveni!B11)</f>
        <v>6</v>
      </c>
      <c r="Y2" s="192">
        <f>LEN(Skriveni!B12)</f>
        <v>13</v>
      </c>
      <c r="Z2" s="192">
        <f>INT(VALUE(C35))</f>
        <v>156</v>
      </c>
      <c r="AA2" s="192">
        <f>INT(VALUE(C39))</f>
        <v>3600</v>
      </c>
      <c r="AB2" s="192">
        <f>IF(C41="DA",1,0)</f>
        <v>0</v>
      </c>
      <c r="AC2" s="192">
        <f>IF(C43="DA",1,0)</f>
        <v>1</v>
      </c>
      <c r="AD2" s="192">
        <f>INT(VALUE(C45))</f>
        <v>2</v>
      </c>
      <c r="AE2" s="192">
        <f>INT(VALUE(C47))</f>
        <v>2</v>
      </c>
      <c r="AF2" s="192">
        <f>INT(VALUE(C49))</f>
        <v>11</v>
      </c>
      <c r="AG2" s="192">
        <f>C51*2+E51</f>
        <v>200</v>
      </c>
      <c r="AH2" s="192">
        <f>C53+2*E53+3*C55+4*E55</f>
        <v>836</v>
      </c>
      <c r="AI2" s="192">
        <f>C57*2+E57</f>
        <v>36</v>
      </c>
      <c r="AJ2" s="192">
        <f>LEN(Skriveni!B43)</f>
        <v>13</v>
      </c>
      <c r="AK2" s="220">
        <f>INT(VALUE(E43))/100</f>
        <v>417482003.89</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41275</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64" t="str">
        <f>IF(E9&lt;&gt;""," "&amp;LOOKUP(E9,AB29:AB45,AC29:AC45),"")</f>
        <v> Dioničko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2382431812.91</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42240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2980</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156</v>
      </c>
      <c r="D35" s="414" t="str">
        <f>IF(C35&lt;&gt;"",LOOKUP(C35,P29:P584,Q29:Q584),"Nije upisana općina!")</f>
        <v>Ivanec</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5</v>
      </c>
      <c r="D37" s="414" t="str">
        <f>IF(C37&lt;&gt;"",LOOKUP(C37,T29:T49,U29:U49),"")</f>
        <v>VARAŽDINSKA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2981</v>
      </c>
      <c r="D43" s="217" t="s">
        <v>2689</v>
      </c>
      <c r="E43" s="393" t="s">
        <v>2982</v>
      </c>
      <c r="F43" s="394"/>
      <c r="G43" s="46"/>
      <c r="H43" s="124" t="s">
        <v>2981</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DA</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2</v>
      </c>
      <c r="D47" s="410" t="str">
        <f>IF(C47&lt;&gt;"",LOOKUP(C47,Sifre!A6:A8,Sifre!B6:B8),"Veličina nije upisana")</f>
        <v>Srednje veliki poduzetnik</v>
      </c>
      <c r="E47" s="411"/>
      <c r="F47" s="411"/>
      <c r="G47" s="411"/>
      <c r="H47" s="124" t="s">
        <v>2981</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2981</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2981</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92</v>
      </c>
      <c r="D53" s="171"/>
      <c r="E53" s="190">
        <v>90</v>
      </c>
      <c r="F53" s="171"/>
      <c r="G53" s="97"/>
      <c r="H53" s="124" t="s">
        <v>2981</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80</v>
      </c>
      <c r="D55" s="171"/>
      <c r="E55" s="191">
        <v>81</v>
      </c>
      <c r="F55" s="171"/>
      <c r="G55" s="97"/>
      <c r="H55" s="124" t="s">
        <v>2981</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2984</v>
      </c>
      <c r="D67" s="420"/>
      <c r="E67" s="421"/>
      <c r="F67" s="97"/>
      <c r="G67" s="167" t="s">
        <v>1484</v>
      </c>
      <c r="H67" s="452" t="s">
        <v>2985</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2986</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2987</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31407797858; IVKOM DD</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77562574</v>
      </c>
      <c r="L11" s="59">
        <f>L12+L19+L29+L38+L42</f>
        <v>89754776</v>
      </c>
    </row>
    <row r="12" spans="1:12" ht="13.5" customHeight="1">
      <c r="A12" s="482" t="s">
        <v>753</v>
      </c>
      <c r="B12" s="483"/>
      <c r="C12" s="483"/>
      <c r="D12" s="483"/>
      <c r="E12" s="483"/>
      <c r="F12" s="483"/>
      <c r="G12" s="483"/>
      <c r="H12" s="484"/>
      <c r="I12" s="4">
        <v>3</v>
      </c>
      <c r="J12" s="8"/>
      <c r="K12" s="59">
        <f>SUM(K13:K18)</f>
        <v>27851</v>
      </c>
      <c r="L12" s="59">
        <f>SUM(L13:L18)</f>
        <v>29220</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993</v>
      </c>
      <c r="L14" s="60">
        <v>11232</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v>26858</v>
      </c>
      <c r="L18" s="60">
        <v>17988</v>
      </c>
    </row>
    <row r="19" spans="1:12" ht="13.5" customHeight="1">
      <c r="A19" s="482" t="s">
        <v>754</v>
      </c>
      <c r="B19" s="483"/>
      <c r="C19" s="483"/>
      <c r="D19" s="483"/>
      <c r="E19" s="483"/>
      <c r="F19" s="483"/>
      <c r="G19" s="483"/>
      <c r="H19" s="484"/>
      <c r="I19" s="4">
        <v>10</v>
      </c>
      <c r="J19" s="8"/>
      <c r="K19" s="59">
        <f>SUM(K20:K28)</f>
        <v>75242847</v>
      </c>
      <c r="L19" s="59">
        <f>SUM(L20:L28)</f>
        <v>87433680</v>
      </c>
    </row>
    <row r="20" spans="1:12" ht="13.5" customHeight="1">
      <c r="A20" s="479" t="s">
        <v>1436</v>
      </c>
      <c r="B20" s="480"/>
      <c r="C20" s="480"/>
      <c r="D20" s="480"/>
      <c r="E20" s="480"/>
      <c r="F20" s="480"/>
      <c r="G20" s="480"/>
      <c r="H20" s="481"/>
      <c r="I20" s="4">
        <v>11</v>
      </c>
      <c r="J20" s="8"/>
      <c r="K20" s="60">
        <v>82444</v>
      </c>
      <c r="L20" s="60">
        <v>82444</v>
      </c>
    </row>
    <row r="21" spans="1:12" ht="13.5" customHeight="1">
      <c r="A21" s="479" t="s">
        <v>186</v>
      </c>
      <c r="B21" s="480"/>
      <c r="C21" s="480"/>
      <c r="D21" s="480"/>
      <c r="E21" s="480"/>
      <c r="F21" s="480"/>
      <c r="G21" s="480"/>
      <c r="H21" s="481"/>
      <c r="I21" s="4">
        <v>12</v>
      </c>
      <c r="J21" s="8"/>
      <c r="K21" s="60">
        <v>66690168</v>
      </c>
      <c r="L21" s="60">
        <v>67331982</v>
      </c>
    </row>
    <row r="22" spans="1:12" ht="13.5" customHeight="1">
      <c r="A22" s="479" t="s">
        <v>1437</v>
      </c>
      <c r="B22" s="480"/>
      <c r="C22" s="480"/>
      <c r="D22" s="480"/>
      <c r="E22" s="480"/>
      <c r="F22" s="480"/>
      <c r="G22" s="480"/>
      <c r="H22" s="481"/>
      <c r="I22" s="4">
        <v>13</v>
      </c>
      <c r="J22" s="8"/>
      <c r="K22" s="60">
        <v>661581</v>
      </c>
      <c r="L22" s="60">
        <v>520060</v>
      </c>
    </row>
    <row r="23" spans="1:12" ht="13.5" customHeight="1">
      <c r="A23" s="479" t="s">
        <v>1273</v>
      </c>
      <c r="B23" s="480"/>
      <c r="C23" s="480"/>
      <c r="D23" s="480"/>
      <c r="E23" s="480"/>
      <c r="F23" s="480"/>
      <c r="G23" s="480"/>
      <c r="H23" s="481"/>
      <c r="I23" s="4">
        <v>14</v>
      </c>
      <c r="J23" s="8"/>
      <c r="K23" s="60">
        <v>2609718</v>
      </c>
      <c r="L23" s="60">
        <v>2272296</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5198936</v>
      </c>
      <c r="L26" s="60">
        <v>17226898</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2291876</v>
      </c>
      <c r="L29" s="59">
        <f>SUM(L30:L37)</f>
        <v>2291876</v>
      </c>
    </row>
    <row r="30" spans="1:12" ht="13.5" customHeight="1">
      <c r="A30" s="479" t="s">
        <v>1167</v>
      </c>
      <c r="B30" s="480"/>
      <c r="C30" s="480"/>
      <c r="D30" s="480"/>
      <c r="E30" s="480"/>
      <c r="F30" s="480"/>
      <c r="G30" s="480"/>
      <c r="H30" s="481"/>
      <c r="I30" s="4">
        <v>21</v>
      </c>
      <c r="J30" s="8"/>
      <c r="K30" s="60">
        <v>2291876</v>
      </c>
      <c r="L30" s="60">
        <v>2291876</v>
      </c>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13084295</v>
      </c>
      <c r="L43" s="59">
        <f>L44+L52+L59+L67</f>
        <v>12219798</v>
      </c>
    </row>
    <row r="44" spans="1:12" ht="13.5" customHeight="1">
      <c r="A44" s="482" t="s">
        <v>319</v>
      </c>
      <c r="B44" s="483"/>
      <c r="C44" s="483"/>
      <c r="D44" s="483"/>
      <c r="E44" s="483"/>
      <c r="F44" s="483"/>
      <c r="G44" s="483"/>
      <c r="H44" s="484"/>
      <c r="I44" s="4">
        <v>35</v>
      </c>
      <c r="J44" s="8"/>
      <c r="K44" s="59">
        <f>SUM(K45:K51)</f>
        <v>898899</v>
      </c>
      <c r="L44" s="59">
        <f>SUM(L45:L51)</f>
        <v>818375</v>
      </c>
    </row>
    <row r="45" spans="1:12" ht="13.5" customHeight="1">
      <c r="A45" s="479" t="s">
        <v>1485</v>
      </c>
      <c r="B45" s="480"/>
      <c r="C45" s="480"/>
      <c r="D45" s="480"/>
      <c r="E45" s="480"/>
      <c r="F45" s="480"/>
      <c r="G45" s="480"/>
      <c r="H45" s="481"/>
      <c r="I45" s="4">
        <v>36</v>
      </c>
      <c r="J45" s="8"/>
      <c r="K45" s="60">
        <v>898899</v>
      </c>
      <c r="L45" s="60">
        <v>818375</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5265249</v>
      </c>
      <c r="L52" s="59">
        <f>SUM(L53:L58)</f>
        <v>5834438</v>
      </c>
    </row>
    <row r="53" spans="1:12" ht="13.5" customHeight="1">
      <c r="A53" s="479" t="s">
        <v>2639</v>
      </c>
      <c r="B53" s="480"/>
      <c r="C53" s="480"/>
      <c r="D53" s="480"/>
      <c r="E53" s="480"/>
      <c r="F53" s="480"/>
      <c r="G53" s="480"/>
      <c r="H53" s="481"/>
      <c r="I53" s="4">
        <v>44</v>
      </c>
      <c r="J53" s="8"/>
      <c r="K53" s="60">
        <v>304425</v>
      </c>
      <c r="L53" s="60">
        <v>278629</v>
      </c>
    </row>
    <row r="54" spans="1:12" ht="13.5" customHeight="1">
      <c r="A54" s="479" t="s">
        <v>2640</v>
      </c>
      <c r="B54" s="480"/>
      <c r="C54" s="480"/>
      <c r="D54" s="480"/>
      <c r="E54" s="480"/>
      <c r="F54" s="480"/>
      <c r="G54" s="480"/>
      <c r="H54" s="481"/>
      <c r="I54" s="4">
        <v>45</v>
      </c>
      <c r="J54" s="8"/>
      <c r="K54" s="60">
        <v>4102499</v>
      </c>
      <c r="L54" s="60">
        <v>4432733</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v>133247</v>
      </c>
      <c r="L57" s="60">
        <v>58934</v>
      </c>
    </row>
    <row r="58" spans="1:12" ht="13.5" customHeight="1">
      <c r="A58" s="479" t="s">
        <v>664</v>
      </c>
      <c r="B58" s="480"/>
      <c r="C58" s="480"/>
      <c r="D58" s="480"/>
      <c r="E58" s="480"/>
      <c r="F58" s="480"/>
      <c r="G58" s="480"/>
      <c r="H58" s="481"/>
      <c r="I58" s="4">
        <v>49</v>
      </c>
      <c r="J58" s="8"/>
      <c r="K58" s="60">
        <v>725078</v>
      </c>
      <c r="L58" s="60">
        <v>1064142</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6920147</v>
      </c>
      <c r="L67" s="60">
        <v>5566985</v>
      </c>
    </row>
    <row r="68" spans="1:12" ht="13.5" customHeight="1">
      <c r="A68" s="488" t="s">
        <v>2848</v>
      </c>
      <c r="B68" s="489"/>
      <c r="C68" s="489"/>
      <c r="D68" s="489"/>
      <c r="E68" s="489"/>
      <c r="F68" s="489"/>
      <c r="G68" s="489"/>
      <c r="H68" s="490"/>
      <c r="I68" s="4">
        <v>59</v>
      </c>
      <c r="J68" s="8"/>
      <c r="K68" s="60">
        <v>50774</v>
      </c>
      <c r="L68" s="60">
        <v>58707</v>
      </c>
    </row>
    <row r="69" spans="1:12" ht="13.5" customHeight="1">
      <c r="A69" s="488" t="s">
        <v>2298</v>
      </c>
      <c r="B69" s="489"/>
      <c r="C69" s="489"/>
      <c r="D69" s="489"/>
      <c r="E69" s="489"/>
      <c r="F69" s="489"/>
      <c r="G69" s="489"/>
      <c r="H69" s="490"/>
      <c r="I69" s="4">
        <v>60</v>
      </c>
      <c r="J69" s="8"/>
      <c r="K69" s="59">
        <f>K10+K11+K43+K68</f>
        <v>90697643</v>
      </c>
      <c r="L69" s="59">
        <f>L10+L11+L43+L68</f>
        <v>102033281</v>
      </c>
    </row>
    <row r="70" spans="1:12" ht="13.5" customHeight="1">
      <c r="A70" s="512" t="s">
        <v>309</v>
      </c>
      <c r="B70" s="513"/>
      <c r="C70" s="513"/>
      <c r="D70" s="513"/>
      <c r="E70" s="513"/>
      <c r="F70" s="513"/>
      <c r="G70" s="513"/>
      <c r="H70" s="514"/>
      <c r="I70" s="5">
        <v>61</v>
      </c>
      <c r="J70" s="9"/>
      <c r="K70" s="61">
        <v>30145380</v>
      </c>
      <c r="L70" s="61">
        <v>30145380</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40734398</v>
      </c>
      <c r="L72" s="79">
        <f>L73+L74+L75+L81+L82+L85+L88</f>
        <v>40776249</v>
      </c>
    </row>
    <row r="73" spans="1:12" ht="13.5" customHeight="1">
      <c r="A73" s="482" t="s">
        <v>2741</v>
      </c>
      <c r="B73" s="483"/>
      <c r="C73" s="483"/>
      <c r="D73" s="483"/>
      <c r="E73" s="483"/>
      <c r="F73" s="483"/>
      <c r="G73" s="483"/>
      <c r="H73" s="484"/>
      <c r="I73" s="4">
        <v>63</v>
      </c>
      <c r="J73" s="8"/>
      <c r="K73" s="60">
        <v>30145380</v>
      </c>
      <c r="L73" s="60">
        <v>30145380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10074626</v>
      </c>
      <c r="L75" s="59">
        <f>L76+L77-L78+L79+L80</f>
        <v>10077422</v>
      </c>
    </row>
    <row r="76" spans="1:12" ht="13.5" customHeight="1">
      <c r="A76" s="479" t="s">
        <v>2744</v>
      </c>
      <c r="B76" s="480"/>
      <c r="C76" s="480"/>
      <c r="D76" s="480"/>
      <c r="E76" s="480"/>
      <c r="F76" s="480"/>
      <c r="G76" s="480"/>
      <c r="H76" s="481"/>
      <c r="I76" s="4">
        <v>66</v>
      </c>
      <c r="J76" s="8"/>
      <c r="K76" s="60">
        <v>41422</v>
      </c>
      <c r="L76" s="60">
        <v>44217</v>
      </c>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v>10033204</v>
      </c>
      <c r="L80" s="60">
        <v>10033205</v>
      </c>
    </row>
    <row r="81" spans="1:12" ht="13.5" customHeight="1">
      <c r="A81" s="482" t="s">
        <v>1542</v>
      </c>
      <c r="B81" s="483"/>
      <c r="C81" s="483"/>
      <c r="D81" s="483"/>
      <c r="E81" s="483"/>
      <c r="F81" s="483"/>
      <c r="G81" s="483"/>
      <c r="H81" s="484"/>
      <c r="I81" s="4">
        <v>71</v>
      </c>
      <c r="J81" s="8"/>
      <c r="K81" s="60">
        <v>348367</v>
      </c>
      <c r="L81" s="60">
        <v>348367</v>
      </c>
    </row>
    <row r="82" spans="1:12" ht="13.5" customHeight="1">
      <c r="A82" s="482" t="s">
        <v>2295</v>
      </c>
      <c r="B82" s="483"/>
      <c r="C82" s="483"/>
      <c r="D82" s="483"/>
      <c r="E82" s="483"/>
      <c r="F82" s="483"/>
      <c r="G82" s="483"/>
      <c r="H82" s="484"/>
      <c r="I82" s="4">
        <v>72</v>
      </c>
      <c r="J82" s="8"/>
      <c r="K82" s="59">
        <f>K83-K84</f>
        <v>110105</v>
      </c>
      <c r="L82" s="59">
        <f>L83-L84</f>
        <v>163229</v>
      </c>
    </row>
    <row r="83" spans="1:12" ht="13.5" customHeight="1">
      <c r="A83" s="485" t="s">
        <v>2824</v>
      </c>
      <c r="B83" s="486"/>
      <c r="C83" s="486"/>
      <c r="D83" s="486"/>
      <c r="E83" s="486"/>
      <c r="F83" s="486"/>
      <c r="G83" s="486"/>
      <c r="H83" s="487"/>
      <c r="I83" s="4">
        <v>73</v>
      </c>
      <c r="J83" s="8"/>
      <c r="K83" s="60">
        <v>110105</v>
      </c>
      <c r="L83" s="60">
        <v>163229</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55920</v>
      </c>
      <c r="L85" s="59">
        <f>L86-L87</f>
        <v>41851</v>
      </c>
    </row>
    <row r="86" spans="1:12" ht="13.5" customHeight="1">
      <c r="A86" s="485" t="s">
        <v>2826</v>
      </c>
      <c r="B86" s="486"/>
      <c r="C86" s="486"/>
      <c r="D86" s="486"/>
      <c r="E86" s="486"/>
      <c r="F86" s="486"/>
      <c r="G86" s="486"/>
      <c r="H86" s="487"/>
      <c r="I86" s="4">
        <v>76</v>
      </c>
      <c r="J86" s="8"/>
      <c r="K86" s="60">
        <v>55920</v>
      </c>
      <c r="L86" s="60">
        <v>41851</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304537</v>
      </c>
      <c r="L93" s="59">
        <f>SUM(L94:L102)</f>
        <v>140638</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v>304537</v>
      </c>
      <c r="L96" s="60">
        <v>140638</v>
      </c>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5864841</v>
      </c>
      <c r="L103" s="59">
        <f>SUM(L104:L115)</f>
        <v>5477197</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v>170169</v>
      </c>
      <c r="L106" s="60">
        <v>180488</v>
      </c>
    </row>
    <row r="107" spans="1:12" ht="13.5" customHeight="1">
      <c r="A107" s="479" t="s">
        <v>179</v>
      </c>
      <c r="B107" s="480"/>
      <c r="C107" s="480"/>
      <c r="D107" s="480"/>
      <c r="E107" s="480"/>
      <c r="F107" s="480"/>
      <c r="G107" s="480"/>
      <c r="H107" s="481"/>
      <c r="I107" s="4">
        <v>97</v>
      </c>
      <c r="J107" s="8"/>
      <c r="K107" s="60">
        <v>579996</v>
      </c>
      <c r="L107" s="60">
        <v>656295</v>
      </c>
    </row>
    <row r="108" spans="1:12" ht="13.5" customHeight="1">
      <c r="A108" s="479" t="s">
        <v>180</v>
      </c>
      <c r="B108" s="480"/>
      <c r="C108" s="480"/>
      <c r="D108" s="480"/>
      <c r="E108" s="480"/>
      <c r="F108" s="480"/>
      <c r="G108" s="480"/>
      <c r="H108" s="481"/>
      <c r="I108" s="4">
        <v>98</v>
      </c>
      <c r="J108" s="8"/>
      <c r="K108" s="60">
        <v>1916332</v>
      </c>
      <c r="L108" s="60">
        <v>2777632</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390907</v>
      </c>
      <c r="L111" s="60">
        <v>381570</v>
      </c>
    </row>
    <row r="112" spans="1:12" ht="13.5" customHeight="1">
      <c r="A112" s="479" t="s">
        <v>314</v>
      </c>
      <c r="B112" s="480"/>
      <c r="C112" s="480"/>
      <c r="D112" s="480"/>
      <c r="E112" s="480"/>
      <c r="F112" s="480"/>
      <c r="G112" s="480"/>
      <c r="H112" s="481"/>
      <c r="I112" s="4">
        <v>102</v>
      </c>
      <c r="J112" s="8"/>
      <c r="K112" s="60">
        <v>228164</v>
      </c>
      <c r="L112" s="60">
        <v>232790</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2579273</v>
      </c>
      <c r="L115" s="60">
        <v>1248422</v>
      </c>
    </row>
    <row r="116" spans="1:12" ht="13.5" customHeight="1">
      <c r="A116" s="488" t="s">
        <v>1525</v>
      </c>
      <c r="B116" s="489"/>
      <c r="C116" s="489"/>
      <c r="D116" s="489"/>
      <c r="E116" s="489"/>
      <c r="F116" s="489"/>
      <c r="G116" s="489"/>
      <c r="H116" s="490"/>
      <c r="I116" s="4">
        <v>106</v>
      </c>
      <c r="J116" s="8"/>
      <c r="K116" s="60">
        <v>43793867</v>
      </c>
      <c r="L116" s="60">
        <v>55639197</v>
      </c>
    </row>
    <row r="117" spans="1:12" ht="13.5" customHeight="1">
      <c r="A117" s="488" t="s">
        <v>1271</v>
      </c>
      <c r="B117" s="489"/>
      <c r="C117" s="489"/>
      <c r="D117" s="489"/>
      <c r="E117" s="489"/>
      <c r="F117" s="489"/>
      <c r="G117" s="489"/>
      <c r="H117" s="490"/>
      <c r="I117" s="4">
        <v>107</v>
      </c>
      <c r="J117" s="8"/>
      <c r="K117" s="59">
        <f>K72+K89+K93+K103+K116</f>
        <v>90697643</v>
      </c>
      <c r="L117" s="59">
        <f>L72+L89+L93+L103+L116</f>
        <v>102033281</v>
      </c>
    </row>
    <row r="118" spans="1:12" ht="13.5" customHeight="1">
      <c r="A118" s="528" t="s">
        <v>2849</v>
      </c>
      <c r="B118" s="529"/>
      <c r="C118" s="529"/>
      <c r="D118" s="529"/>
      <c r="E118" s="529"/>
      <c r="F118" s="529"/>
      <c r="G118" s="529"/>
      <c r="H118" s="530"/>
      <c r="I118" s="5">
        <v>108</v>
      </c>
      <c r="J118" s="8"/>
      <c r="K118" s="61">
        <v>30145380</v>
      </c>
      <c r="L118" s="61">
        <v>30145380</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8" activePane="bottomLeft" state="frozen"/>
      <selection pane="topLeft" activeCell="A1" sqref="A1"/>
      <selection pane="bottomLeft" activeCell="F1" sqref="F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31407797858; IVKOM DD</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17699770</v>
      </c>
      <c r="L9" s="79">
        <f>SUM(L10:L11)</f>
        <v>17113146</v>
      </c>
    </row>
    <row r="10" spans="1:12" s="3" customFormat="1" ht="13.5" customHeight="1">
      <c r="A10" s="488" t="s">
        <v>1722</v>
      </c>
      <c r="B10" s="489"/>
      <c r="C10" s="489"/>
      <c r="D10" s="489"/>
      <c r="E10" s="489"/>
      <c r="F10" s="489"/>
      <c r="G10" s="489"/>
      <c r="H10" s="490"/>
      <c r="I10" s="4">
        <v>112</v>
      </c>
      <c r="J10" s="8"/>
      <c r="K10" s="60">
        <v>13922171</v>
      </c>
      <c r="L10" s="60">
        <v>13727291</v>
      </c>
    </row>
    <row r="11" spans="1:12" s="3" customFormat="1" ht="13.5" customHeight="1">
      <c r="A11" s="488" t="s">
        <v>322</v>
      </c>
      <c r="B11" s="489"/>
      <c r="C11" s="489"/>
      <c r="D11" s="489"/>
      <c r="E11" s="489"/>
      <c r="F11" s="489"/>
      <c r="G11" s="489"/>
      <c r="H11" s="490"/>
      <c r="I11" s="4">
        <v>113</v>
      </c>
      <c r="J11" s="8"/>
      <c r="K11" s="60">
        <v>3777599</v>
      </c>
      <c r="L11" s="60">
        <v>3385855</v>
      </c>
    </row>
    <row r="12" spans="1:12" s="3" customFormat="1" ht="13.5" customHeight="1">
      <c r="A12" s="488" t="s">
        <v>669</v>
      </c>
      <c r="B12" s="489"/>
      <c r="C12" s="489"/>
      <c r="D12" s="489"/>
      <c r="E12" s="489"/>
      <c r="F12" s="489"/>
      <c r="G12" s="489"/>
      <c r="H12" s="490"/>
      <c r="I12" s="4">
        <v>114</v>
      </c>
      <c r="J12" s="8"/>
      <c r="K12" s="59">
        <f>K13+K14+K18+K22+K23+K24+K27+K28</f>
        <v>17904893</v>
      </c>
      <c r="L12" s="59">
        <f>L13+L14+L18+L22+L23+L24+L27+L28</f>
        <v>17320357</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4710695</v>
      </c>
      <c r="L14" s="59">
        <f>SUM(L15:L17)</f>
        <v>4794095</v>
      </c>
    </row>
    <row r="15" spans="1:12" s="3" customFormat="1" ht="13.5" customHeight="1">
      <c r="A15" s="479" t="s">
        <v>2463</v>
      </c>
      <c r="B15" s="480"/>
      <c r="C15" s="480"/>
      <c r="D15" s="480"/>
      <c r="E15" s="480"/>
      <c r="F15" s="480"/>
      <c r="G15" s="480"/>
      <c r="H15" s="481"/>
      <c r="I15" s="4">
        <v>117</v>
      </c>
      <c r="J15" s="8"/>
      <c r="K15" s="60">
        <v>2415506</v>
      </c>
      <c r="L15" s="60">
        <v>2528237</v>
      </c>
    </row>
    <row r="16" spans="1:12" s="3" customFormat="1" ht="13.5" customHeight="1">
      <c r="A16" s="479" t="s">
        <v>2464</v>
      </c>
      <c r="B16" s="480"/>
      <c r="C16" s="480"/>
      <c r="D16" s="480"/>
      <c r="E16" s="480"/>
      <c r="F16" s="480"/>
      <c r="G16" s="480"/>
      <c r="H16" s="481"/>
      <c r="I16" s="4">
        <v>118</v>
      </c>
      <c r="J16" s="8"/>
      <c r="K16" s="60">
        <v>353206</v>
      </c>
      <c r="L16" s="60">
        <v>392546</v>
      </c>
    </row>
    <row r="17" spans="1:12" s="3" customFormat="1" ht="13.5" customHeight="1">
      <c r="A17" s="479" t="s">
        <v>2663</v>
      </c>
      <c r="B17" s="480"/>
      <c r="C17" s="480"/>
      <c r="D17" s="480"/>
      <c r="E17" s="480"/>
      <c r="F17" s="480"/>
      <c r="G17" s="480"/>
      <c r="H17" s="481"/>
      <c r="I17" s="4">
        <v>119</v>
      </c>
      <c r="J17" s="8"/>
      <c r="K17" s="60">
        <v>1941983</v>
      </c>
      <c r="L17" s="60">
        <v>1873312</v>
      </c>
    </row>
    <row r="18" spans="1:12" s="3" customFormat="1" ht="13.5" customHeight="1">
      <c r="A18" s="488" t="s">
        <v>1269</v>
      </c>
      <c r="B18" s="489"/>
      <c r="C18" s="489"/>
      <c r="D18" s="489"/>
      <c r="E18" s="489"/>
      <c r="F18" s="489"/>
      <c r="G18" s="489"/>
      <c r="H18" s="490"/>
      <c r="I18" s="4">
        <v>120</v>
      </c>
      <c r="J18" s="8"/>
      <c r="K18" s="59">
        <f>SUM(K19:K21)</f>
        <v>7232511</v>
      </c>
      <c r="L18" s="59">
        <f>SUM(L19:L21)</f>
        <v>7350111</v>
      </c>
    </row>
    <row r="19" spans="1:12" s="3" customFormat="1" ht="13.5" customHeight="1">
      <c r="A19" s="479" t="s">
        <v>2664</v>
      </c>
      <c r="B19" s="480"/>
      <c r="C19" s="480"/>
      <c r="D19" s="480"/>
      <c r="E19" s="480"/>
      <c r="F19" s="480"/>
      <c r="G19" s="480"/>
      <c r="H19" s="481"/>
      <c r="I19" s="4">
        <v>121</v>
      </c>
      <c r="J19" s="8"/>
      <c r="K19" s="60">
        <v>4988963</v>
      </c>
      <c r="L19" s="60">
        <v>5100712</v>
      </c>
    </row>
    <row r="20" spans="1:12" s="3" customFormat="1" ht="13.5" customHeight="1">
      <c r="A20" s="479" t="s">
        <v>2665</v>
      </c>
      <c r="B20" s="480"/>
      <c r="C20" s="480"/>
      <c r="D20" s="480"/>
      <c r="E20" s="480"/>
      <c r="F20" s="480"/>
      <c r="G20" s="480"/>
      <c r="H20" s="481"/>
      <c r="I20" s="4">
        <v>122</v>
      </c>
      <c r="J20" s="8"/>
      <c r="K20" s="60">
        <v>1247241</v>
      </c>
      <c r="L20" s="60">
        <v>1274059</v>
      </c>
    </row>
    <row r="21" spans="1:12" s="3" customFormat="1" ht="13.5" customHeight="1">
      <c r="A21" s="479" t="s">
        <v>2666</v>
      </c>
      <c r="B21" s="480"/>
      <c r="C21" s="480"/>
      <c r="D21" s="480"/>
      <c r="E21" s="480"/>
      <c r="F21" s="480"/>
      <c r="G21" s="480"/>
      <c r="H21" s="481"/>
      <c r="I21" s="4">
        <v>123</v>
      </c>
      <c r="J21" s="8"/>
      <c r="K21" s="60">
        <v>996307</v>
      </c>
      <c r="L21" s="60">
        <v>975340</v>
      </c>
    </row>
    <row r="22" spans="1:12" s="3" customFormat="1" ht="13.5" customHeight="1">
      <c r="A22" s="488" t="s">
        <v>324</v>
      </c>
      <c r="B22" s="489"/>
      <c r="C22" s="489"/>
      <c r="D22" s="489"/>
      <c r="E22" s="489"/>
      <c r="F22" s="489"/>
      <c r="G22" s="489"/>
      <c r="H22" s="490"/>
      <c r="I22" s="4">
        <v>124</v>
      </c>
      <c r="J22" s="8"/>
      <c r="K22" s="60">
        <v>2535614</v>
      </c>
      <c r="L22" s="60">
        <v>2343214</v>
      </c>
    </row>
    <row r="23" spans="1:12" s="3" customFormat="1" ht="13.5" customHeight="1">
      <c r="A23" s="488" t="s">
        <v>325</v>
      </c>
      <c r="B23" s="489"/>
      <c r="C23" s="489"/>
      <c r="D23" s="489"/>
      <c r="E23" s="489"/>
      <c r="F23" s="489"/>
      <c r="G23" s="489"/>
      <c r="H23" s="490"/>
      <c r="I23" s="4">
        <v>125</v>
      </c>
      <c r="J23" s="8"/>
      <c r="K23" s="60">
        <v>2555686</v>
      </c>
      <c r="L23" s="60">
        <v>2397609</v>
      </c>
    </row>
    <row r="24" spans="1:12" s="3" customFormat="1" ht="13.5" customHeight="1">
      <c r="A24" s="488" t="s">
        <v>1270</v>
      </c>
      <c r="B24" s="489"/>
      <c r="C24" s="489"/>
      <c r="D24" s="489"/>
      <c r="E24" s="489"/>
      <c r="F24" s="489"/>
      <c r="G24" s="489"/>
      <c r="H24" s="490"/>
      <c r="I24" s="4">
        <v>126</v>
      </c>
      <c r="J24" s="8"/>
      <c r="K24" s="59">
        <f>SUM(K25:K26)</f>
        <v>717971</v>
      </c>
      <c r="L24" s="59">
        <f>SUM(L25:L26)</f>
        <v>327229</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717971</v>
      </c>
      <c r="L26" s="60">
        <v>327229</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v>152416</v>
      </c>
      <c r="L28" s="60">
        <v>108099</v>
      </c>
    </row>
    <row r="29" spans="1:12" s="3" customFormat="1" ht="13.5" customHeight="1">
      <c r="A29" s="488" t="s">
        <v>53</v>
      </c>
      <c r="B29" s="489"/>
      <c r="C29" s="489"/>
      <c r="D29" s="489"/>
      <c r="E29" s="489"/>
      <c r="F29" s="489"/>
      <c r="G29" s="489"/>
      <c r="H29" s="490"/>
      <c r="I29" s="4">
        <v>131</v>
      </c>
      <c r="J29" s="8"/>
      <c r="K29" s="59">
        <f>SUM(K30:K34)</f>
        <v>291917</v>
      </c>
      <c r="L29" s="59">
        <f>SUM(L30:L34)</f>
        <v>352749</v>
      </c>
    </row>
    <row r="30" spans="1:12" s="3" customFormat="1" ht="27.75" customHeight="1">
      <c r="A30" s="488" t="s">
        <v>82</v>
      </c>
      <c r="B30" s="489"/>
      <c r="C30" s="489"/>
      <c r="D30" s="489"/>
      <c r="E30" s="489"/>
      <c r="F30" s="489"/>
      <c r="G30" s="489"/>
      <c r="H30" s="490"/>
      <c r="I30" s="4">
        <v>132</v>
      </c>
      <c r="J30" s="8"/>
      <c r="K30" s="60">
        <v>94798</v>
      </c>
      <c r="L30" s="60">
        <v>122855</v>
      </c>
    </row>
    <row r="31" spans="1:12" s="3" customFormat="1" ht="27.75" customHeight="1">
      <c r="A31" s="488" t="s">
        <v>215</v>
      </c>
      <c r="B31" s="489"/>
      <c r="C31" s="489"/>
      <c r="D31" s="489"/>
      <c r="E31" s="489"/>
      <c r="F31" s="489"/>
      <c r="G31" s="489"/>
      <c r="H31" s="490"/>
      <c r="I31" s="4">
        <v>133</v>
      </c>
      <c r="J31" s="8"/>
      <c r="K31" s="60">
        <v>197119</v>
      </c>
      <c r="L31" s="60">
        <v>229894</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30874</v>
      </c>
      <c r="L35" s="59">
        <f>SUM(L36:L39)</f>
        <v>92564</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30874</v>
      </c>
      <c r="L37" s="60">
        <v>92564</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v>3993</v>
      </c>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17991687</v>
      </c>
      <c r="L44" s="59">
        <f>L9+L29+L40+L42</f>
        <v>17469888</v>
      </c>
    </row>
    <row r="45" spans="1:12" s="3" customFormat="1" ht="13.5" customHeight="1">
      <c r="A45" s="488" t="s">
        <v>56</v>
      </c>
      <c r="B45" s="489"/>
      <c r="C45" s="489"/>
      <c r="D45" s="489"/>
      <c r="E45" s="489"/>
      <c r="F45" s="489"/>
      <c r="G45" s="489"/>
      <c r="H45" s="490"/>
      <c r="I45" s="4">
        <v>147</v>
      </c>
      <c r="J45" s="8"/>
      <c r="K45" s="59">
        <f>K12+K35+K41+K43</f>
        <v>17935767</v>
      </c>
      <c r="L45" s="59">
        <f>L12+L35+L41+L43</f>
        <v>17412921</v>
      </c>
    </row>
    <row r="46" spans="1:12" s="3" customFormat="1" ht="13.5" customHeight="1">
      <c r="A46" s="488" t="s">
        <v>1825</v>
      </c>
      <c r="B46" s="489"/>
      <c r="C46" s="489"/>
      <c r="D46" s="489"/>
      <c r="E46" s="489"/>
      <c r="F46" s="489"/>
      <c r="G46" s="489"/>
      <c r="H46" s="490"/>
      <c r="I46" s="4">
        <v>148</v>
      </c>
      <c r="J46" s="8"/>
      <c r="K46" s="59">
        <f>K44-K45</f>
        <v>55920</v>
      </c>
      <c r="L46" s="59">
        <f>L44-L45</f>
        <v>56967</v>
      </c>
    </row>
    <row r="47" spans="1:12" s="3" customFormat="1" ht="13.5" customHeight="1">
      <c r="A47" s="485" t="s">
        <v>58</v>
      </c>
      <c r="B47" s="486"/>
      <c r="C47" s="486"/>
      <c r="D47" s="486"/>
      <c r="E47" s="486"/>
      <c r="F47" s="486"/>
      <c r="G47" s="486"/>
      <c r="H47" s="487"/>
      <c r="I47" s="4">
        <v>149</v>
      </c>
      <c r="J47" s="8"/>
      <c r="K47" s="59">
        <f>IF(K44&gt;K45,K44-K45,0)</f>
        <v>55920</v>
      </c>
      <c r="L47" s="59">
        <f>IF(L44&gt;L45,L44-L45,0)</f>
        <v>56967</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c r="L49" s="60">
        <v>15116</v>
      </c>
    </row>
    <row r="50" spans="1:12" s="3" customFormat="1" ht="13.5" customHeight="1">
      <c r="A50" s="488" t="s">
        <v>1826</v>
      </c>
      <c r="B50" s="489"/>
      <c r="C50" s="489"/>
      <c r="D50" s="489"/>
      <c r="E50" s="489"/>
      <c r="F50" s="489"/>
      <c r="G50" s="489"/>
      <c r="H50" s="490"/>
      <c r="I50" s="4">
        <v>152</v>
      </c>
      <c r="J50" s="8"/>
      <c r="K50" s="59">
        <f>K46-K49</f>
        <v>55920</v>
      </c>
      <c r="L50" s="59">
        <f>L46-L49</f>
        <v>41851</v>
      </c>
    </row>
    <row r="51" spans="1:12" s="3" customFormat="1" ht="13.5" customHeight="1">
      <c r="A51" s="485" t="s">
        <v>1021</v>
      </c>
      <c r="B51" s="486"/>
      <c r="C51" s="486"/>
      <c r="D51" s="486"/>
      <c r="E51" s="486"/>
      <c r="F51" s="486"/>
      <c r="G51" s="486"/>
      <c r="H51" s="487"/>
      <c r="I51" s="4">
        <v>153</v>
      </c>
      <c r="J51" s="8"/>
      <c r="K51" s="59">
        <f>IF(K50&gt;0,K50,0)</f>
        <v>55920</v>
      </c>
      <c r="L51" s="59">
        <f>IF(L50&gt;0,L50,0)</f>
        <v>41851</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G1" sqref="G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31407797858; IVKOM DD</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H1" sqref="H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31407797858; IVKOM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tabSelected="1" zoomScalePageLayoutView="0" workbookViewId="0" topLeftCell="A1">
      <pane ySplit="2" topLeftCell="A37" activePane="bottomLeft" state="frozen"/>
      <selection pane="topLeft" activeCell="A1" sqref="A1"/>
      <selection pane="bottomLeft" activeCell="A1" sqref="A1:B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1</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1</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31407797858; IVKOM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v>22794006</v>
      </c>
      <c r="L10" s="60">
        <v>22537609</v>
      </c>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v>458351</v>
      </c>
      <c r="L14" s="60">
        <v>83310</v>
      </c>
    </row>
    <row r="15" spans="1:12" s="3" customFormat="1" ht="13.5" customHeight="1">
      <c r="A15" s="488" t="s">
        <v>1048</v>
      </c>
      <c r="B15" s="489"/>
      <c r="C15" s="489"/>
      <c r="D15" s="489"/>
      <c r="E15" s="489"/>
      <c r="F15" s="489"/>
      <c r="G15" s="489"/>
      <c r="H15" s="489"/>
      <c r="I15" s="4">
        <v>6</v>
      </c>
      <c r="J15" s="139"/>
      <c r="K15" s="54">
        <f>SUM(K10:K14)</f>
        <v>23252357</v>
      </c>
      <c r="L15" s="59">
        <f>SUM(L10:L14)</f>
        <v>22620919</v>
      </c>
    </row>
    <row r="16" spans="1:12" s="3" customFormat="1" ht="13.5" customHeight="1">
      <c r="A16" s="479" t="s">
        <v>1494</v>
      </c>
      <c r="B16" s="480"/>
      <c r="C16" s="480"/>
      <c r="D16" s="480"/>
      <c r="E16" s="480"/>
      <c r="F16" s="480"/>
      <c r="G16" s="480"/>
      <c r="H16" s="480"/>
      <c r="I16" s="4">
        <v>7</v>
      </c>
      <c r="J16" s="139"/>
      <c r="K16" s="53">
        <v>6978957</v>
      </c>
      <c r="L16" s="60">
        <v>3927818</v>
      </c>
    </row>
    <row r="17" spans="1:12" s="3" customFormat="1" ht="13.5" customHeight="1">
      <c r="A17" s="479" t="s">
        <v>1495</v>
      </c>
      <c r="B17" s="480"/>
      <c r="C17" s="480"/>
      <c r="D17" s="480"/>
      <c r="E17" s="480"/>
      <c r="F17" s="480"/>
      <c r="G17" s="480"/>
      <c r="H17" s="480"/>
      <c r="I17" s="4">
        <v>8</v>
      </c>
      <c r="J17" s="139"/>
      <c r="K17" s="53">
        <v>6435944</v>
      </c>
      <c r="L17" s="60">
        <v>6214470</v>
      </c>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v>4158804</v>
      </c>
      <c r="L20" s="60">
        <v>3219193</v>
      </c>
    </row>
    <row r="21" spans="1:12" s="3" customFormat="1" ht="13.5" customHeight="1">
      <c r="A21" s="479" t="s">
        <v>1499</v>
      </c>
      <c r="B21" s="480"/>
      <c r="C21" s="480"/>
      <c r="D21" s="480"/>
      <c r="E21" s="480"/>
      <c r="F21" s="480"/>
      <c r="G21" s="480"/>
      <c r="H21" s="480"/>
      <c r="I21" s="4">
        <v>12</v>
      </c>
      <c r="J21" s="139"/>
      <c r="K21" s="53">
        <v>17729</v>
      </c>
      <c r="L21" s="60">
        <v>240483</v>
      </c>
    </row>
    <row r="22" spans="1:12" s="3" customFormat="1" ht="13.5" customHeight="1">
      <c r="A22" s="488" t="s">
        <v>1074</v>
      </c>
      <c r="B22" s="489"/>
      <c r="C22" s="489"/>
      <c r="D22" s="489"/>
      <c r="E22" s="489"/>
      <c r="F22" s="489"/>
      <c r="G22" s="489"/>
      <c r="H22" s="489"/>
      <c r="I22" s="4">
        <v>13</v>
      </c>
      <c r="J22" s="139"/>
      <c r="K22" s="54">
        <f>SUM(K16:K21)</f>
        <v>17591434</v>
      </c>
      <c r="L22" s="59">
        <f>SUM(L16:L21)</f>
        <v>13601964</v>
      </c>
    </row>
    <row r="23" spans="1:12" s="3" customFormat="1" ht="24.75" customHeight="1">
      <c r="A23" s="488" t="s">
        <v>327</v>
      </c>
      <c r="B23" s="594"/>
      <c r="C23" s="594"/>
      <c r="D23" s="594"/>
      <c r="E23" s="594"/>
      <c r="F23" s="594"/>
      <c r="G23" s="594"/>
      <c r="H23" s="595"/>
      <c r="I23" s="4">
        <v>14</v>
      </c>
      <c r="J23" s="139"/>
      <c r="K23" s="54">
        <f>IF(K15&gt;K22,K15-K22,0)</f>
        <v>5660923</v>
      </c>
      <c r="L23" s="59">
        <f>IF(L15&gt;L22,L15-L22,0)</f>
        <v>9018955</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v>600066</v>
      </c>
      <c r="L30" s="60">
        <v>2936701</v>
      </c>
    </row>
    <row r="31" spans="1:12" s="3" customFormat="1" ht="13.5" customHeight="1">
      <c r="A31" s="488" t="s">
        <v>2013</v>
      </c>
      <c r="B31" s="489"/>
      <c r="C31" s="489"/>
      <c r="D31" s="489"/>
      <c r="E31" s="489"/>
      <c r="F31" s="489"/>
      <c r="G31" s="489"/>
      <c r="H31" s="489"/>
      <c r="I31" s="4">
        <v>21</v>
      </c>
      <c r="J31" s="139"/>
      <c r="K31" s="54">
        <f>SUM(K26:K30)</f>
        <v>600066</v>
      </c>
      <c r="L31" s="59">
        <f>SUM(L26:L30)</f>
        <v>2936701</v>
      </c>
    </row>
    <row r="32" spans="1:12" s="3" customFormat="1" ht="13.5" customHeight="1">
      <c r="A32" s="479" t="s">
        <v>2696</v>
      </c>
      <c r="B32" s="480"/>
      <c r="C32" s="480"/>
      <c r="D32" s="480"/>
      <c r="E32" s="480"/>
      <c r="F32" s="480"/>
      <c r="G32" s="480"/>
      <c r="H32" s="480"/>
      <c r="I32" s="4">
        <v>22</v>
      </c>
      <c r="J32" s="139"/>
      <c r="K32" s="53">
        <v>2401210</v>
      </c>
      <c r="L32" s="60">
        <v>10797927</v>
      </c>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v>14742</v>
      </c>
      <c r="L34" s="60">
        <v>9650</v>
      </c>
    </row>
    <row r="35" spans="1:12" s="3" customFormat="1" ht="13.5" customHeight="1">
      <c r="A35" s="488" t="s">
        <v>1077</v>
      </c>
      <c r="B35" s="489"/>
      <c r="C35" s="489"/>
      <c r="D35" s="489"/>
      <c r="E35" s="489"/>
      <c r="F35" s="489"/>
      <c r="G35" s="489"/>
      <c r="H35" s="489"/>
      <c r="I35" s="4">
        <v>25</v>
      </c>
      <c r="J35" s="139"/>
      <c r="K35" s="54">
        <f>SUM(K32:K34)</f>
        <v>2415952</v>
      </c>
      <c r="L35" s="59">
        <f>SUM(L32:L34)</f>
        <v>10807577</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1815886</v>
      </c>
      <c r="L37" s="59">
        <f>IF(L35&gt;L31,L35-L31,0)</f>
        <v>7870876</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v>3355387</v>
      </c>
      <c r="L40" s="60">
        <v>4500000</v>
      </c>
    </row>
    <row r="41" spans="1:12" s="3" customFormat="1" ht="13.5" customHeight="1">
      <c r="A41" s="479" t="s">
        <v>1276</v>
      </c>
      <c r="B41" s="480"/>
      <c r="C41" s="480"/>
      <c r="D41" s="480"/>
      <c r="E41" s="480"/>
      <c r="F41" s="480"/>
      <c r="G41" s="480"/>
      <c r="H41" s="480"/>
      <c r="I41" s="4">
        <v>30</v>
      </c>
      <c r="J41" s="139"/>
      <c r="K41" s="53">
        <v>795516</v>
      </c>
      <c r="L41" s="60">
        <v>107358</v>
      </c>
    </row>
    <row r="42" spans="1:12" s="3" customFormat="1" ht="13.5" customHeight="1">
      <c r="A42" s="488" t="s">
        <v>1078</v>
      </c>
      <c r="B42" s="489"/>
      <c r="C42" s="489"/>
      <c r="D42" s="489"/>
      <c r="E42" s="489"/>
      <c r="F42" s="489"/>
      <c r="G42" s="489"/>
      <c r="H42" s="489"/>
      <c r="I42" s="4">
        <v>31</v>
      </c>
      <c r="J42" s="139"/>
      <c r="K42" s="54">
        <f>SUM(K39:K41)</f>
        <v>4150903</v>
      </c>
      <c r="L42" s="59">
        <f>SUM(L39:L41)</f>
        <v>4607358</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v>6719422</v>
      </c>
      <c r="L47" s="60">
        <v>7108599</v>
      </c>
    </row>
    <row r="48" spans="1:12" s="3" customFormat="1" ht="13.5" customHeight="1">
      <c r="A48" s="488" t="s">
        <v>1921</v>
      </c>
      <c r="B48" s="489"/>
      <c r="C48" s="489"/>
      <c r="D48" s="489"/>
      <c r="E48" s="489"/>
      <c r="F48" s="489"/>
      <c r="G48" s="489"/>
      <c r="H48" s="489"/>
      <c r="I48" s="4">
        <v>37</v>
      </c>
      <c r="J48" s="139"/>
      <c r="K48" s="54">
        <f>SUM(K43:K47)</f>
        <v>6719422</v>
      </c>
      <c r="L48" s="59">
        <f>SUM(L43:L47)</f>
        <v>7108599</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2568519</v>
      </c>
      <c r="L50" s="59">
        <f>IF(L48&gt;L42,L48-L42,0)</f>
        <v>2501241</v>
      </c>
    </row>
    <row r="51" spans="1:12" s="3" customFormat="1" ht="13.5" customHeight="1">
      <c r="A51" s="488" t="s">
        <v>1922</v>
      </c>
      <c r="B51" s="489"/>
      <c r="C51" s="489"/>
      <c r="D51" s="489"/>
      <c r="E51" s="489"/>
      <c r="F51" s="489"/>
      <c r="G51" s="489"/>
      <c r="H51" s="489"/>
      <c r="I51" s="4">
        <v>40</v>
      </c>
      <c r="J51" s="139"/>
      <c r="K51" s="54">
        <f>IF(K23-K24+K36-K37+K49-K50&gt;0,K23-K24+K36-K37+K49-K50,0)</f>
        <v>1276518</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1353162</v>
      </c>
    </row>
    <row r="53" spans="1:12" s="3" customFormat="1" ht="13.5" customHeight="1">
      <c r="A53" s="488" t="s">
        <v>222</v>
      </c>
      <c r="B53" s="489"/>
      <c r="C53" s="489"/>
      <c r="D53" s="489"/>
      <c r="E53" s="489"/>
      <c r="F53" s="489"/>
      <c r="G53" s="489"/>
      <c r="H53" s="489"/>
      <c r="I53" s="4">
        <v>42</v>
      </c>
      <c r="J53" s="139"/>
      <c r="K53" s="53">
        <v>5643629</v>
      </c>
      <c r="L53" s="60">
        <v>6920147</v>
      </c>
    </row>
    <row r="54" spans="1:12" s="3" customFormat="1" ht="13.5" customHeight="1">
      <c r="A54" s="488" t="s">
        <v>943</v>
      </c>
      <c r="B54" s="489"/>
      <c r="C54" s="489"/>
      <c r="D54" s="489"/>
      <c r="E54" s="489"/>
      <c r="F54" s="489"/>
      <c r="G54" s="489"/>
      <c r="H54" s="489"/>
      <c r="I54" s="4">
        <v>43</v>
      </c>
      <c r="J54" s="139"/>
      <c r="K54" s="53">
        <v>1276518</v>
      </c>
      <c r="L54" s="60"/>
    </row>
    <row r="55" spans="1:12" s="3" customFormat="1" ht="13.5" customHeight="1">
      <c r="A55" s="488" t="s">
        <v>944</v>
      </c>
      <c r="B55" s="489"/>
      <c r="C55" s="489"/>
      <c r="D55" s="489"/>
      <c r="E55" s="489"/>
      <c r="F55" s="489"/>
      <c r="G55" s="489"/>
      <c r="H55" s="489"/>
      <c r="I55" s="4">
        <v>44</v>
      </c>
      <c r="J55" s="139"/>
      <c r="K55" s="53"/>
      <c r="L55" s="60">
        <v>1353162</v>
      </c>
    </row>
    <row r="56" spans="1:12" s="3" customFormat="1" ht="13.5" customHeight="1">
      <c r="A56" s="512" t="s">
        <v>945</v>
      </c>
      <c r="B56" s="513"/>
      <c r="C56" s="513"/>
      <c r="D56" s="513"/>
      <c r="E56" s="513"/>
      <c r="F56" s="513"/>
      <c r="G56" s="513"/>
      <c r="H56" s="513"/>
      <c r="I56" s="15">
        <v>45</v>
      </c>
      <c r="J56" s="140"/>
      <c r="K56" s="55">
        <f>K53+K54-K55</f>
        <v>6920147</v>
      </c>
      <c r="L56" s="71">
        <f>L53+L54-L55</f>
        <v>5566985</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2016-01-05T07:53:33Z</cp:lastPrinted>
  <dcterms:created xsi:type="dcterms:W3CDTF">2008-10-17T11:51:54Z</dcterms:created>
  <dcterms:modified xsi:type="dcterms:W3CDTF">2016-06-07T10:03:12Z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